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55" windowWidth="30375" windowHeight="15270"/>
  </bookViews>
  <sheets>
    <sheet name="Krycí list rozpočtu" sheetId="1" r:id="rId1"/>
    <sheet name="VORN" sheetId="2" state="hidden" r:id="rId2"/>
    <sheet name="Rozpočet - skupiny" sheetId="3" r:id="rId3"/>
    <sheet name="Stavební rozpočet" sheetId="4" r:id="rId4"/>
    <sheet name="VZT_rekapitulace" sheetId="5" r:id="rId5"/>
    <sheet name="VZT" sheetId="6" r:id="rId6"/>
    <sheet name="EL" sheetId="7" r:id="rId7"/>
  </sheets>
  <externalReferences>
    <externalReference r:id="rId8"/>
  </externalReferences>
  <definedNames>
    <definedName name="vorn_sum">VORN!$I$36</definedName>
  </definedNames>
  <calcPr calcId="124519"/>
</workbook>
</file>

<file path=xl/calcChain.xml><?xml version="1.0" encoding="utf-8"?>
<calcChain xmlns="http://schemas.openxmlformats.org/spreadsheetml/2006/main">
  <c r="G7" i="5"/>
  <c r="G9" s="1"/>
  <c r="G14" s="1"/>
  <c r="F7"/>
  <c r="G25"/>
  <c r="G24"/>
  <c r="G23"/>
  <c r="G22"/>
  <c r="G21"/>
  <c r="G20"/>
  <c r="G19"/>
  <c r="G18"/>
  <c r="G17"/>
  <c r="G16"/>
  <c r="A7"/>
  <c r="G46" i="6"/>
  <c r="I46" s="1"/>
  <c r="H44"/>
  <c r="G43"/>
  <c r="I43" s="1"/>
  <c r="H42"/>
  <c r="G41"/>
  <c r="I41" s="1"/>
  <c r="H40"/>
  <c r="G39"/>
  <c r="I39" s="1"/>
  <c r="H38"/>
  <c r="G31"/>
  <c r="I31" s="1"/>
  <c r="H30"/>
  <c r="G29"/>
  <c r="I29" s="1"/>
  <c r="H28"/>
  <c r="G27"/>
  <c r="I27" s="1"/>
  <c r="H26"/>
  <c r="G25"/>
  <c r="I25" s="1"/>
  <c r="H24"/>
  <c r="G23"/>
  <c r="I23" s="1"/>
  <c r="H22"/>
  <c r="G21"/>
  <c r="I21" s="1"/>
  <c r="H20"/>
  <c r="G18"/>
  <c r="I18" s="1"/>
  <c r="H17"/>
  <c r="G16"/>
  <c r="I16" s="1"/>
  <c r="H15"/>
  <c r="G14"/>
  <c r="I14" s="1"/>
  <c r="H13"/>
  <c r="I12"/>
  <c r="G12"/>
  <c r="H11"/>
  <c r="F34" i="7"/>
  <c r="F33"/>
  <c r="F32"/>
  <c r="F31"/>
  <c r="F30"/>
  <c r="F26"/>
  <c r="F25"/>
  <c r="F21"/>
  <c r="F20"/>
  <c r="F19"/>
  <c r="F18"/>
  <c r="F22" s="1"/>
  <c r="F14"/>
  <c r="F13"/>
  <c r="F12"/>
  <c r="F8"/>
  <c r="F7"/>
  <c r="F9" s="1"/>
  <c r="BW113" i="4"/>
  <c r="AK113"/>
  <c r="AT112" s="1"/>
  <c r="AJ113"/>
  <c r="AS112" s="1"/>
  <c r="AH113"/>
  <c r="AE113"/>
  <c r="AD113"/>
  <c r="AC113"/>
  <c r="AB113"/>
  <c r="Z113"/>
  <c r="O113"/>
  <c r="BF113" s="1"/>
  <c r="O112"/>
  <c r="BW110"/>
  <c r="AK110"/>
  <c r="AT109" s="1"/>
  <c r="AJ110"/>
  <c r="AH110"/>
  <c r="AE110"/>
  <c r="AD110"/>
  <c r="AC110"/>
  <c r="AB110"/>
  <c r="Z110"/>
  <c r="O110"/>
  <c r="BF110" s="1"/>
  <c r="BW107"/>
  <c r="BJ107"/>
  <c r="BI107"/>
  <c r="AE107" s="1"/>
  <c r="BH107"/>
  <c r="BD107"/>
  <c r="AW107"/>
  <c r="BC107" s="1"/>
  <c r="AP107"/>
  <c r="AX107" s="1"/>
  <c r="AV107" s="1"/>
  <c r="AO107"/>
  <c r="AK107"/>
  <c r="AJ107"/>
  <c r="AH107"/>
  <c r="AG107"/>
  <c r="AF107"/>
  <c r="AD107"/>
  <c r="AC107"/>
  <c r="AB107"/>
  <c r="Z107"/>
  <c r="O107"/>
  <c r="BF107" s="1"/>
  <c r="L107"/>
  <c r="AL107" s="1"/>
  <c r="J107"/>
  <c r="BW105"/>
  <c r="BJ105"/>
  <c r="BF105"/>
  <c r="BD105"/>
  <c r="AP105"/>
  <c r="AX105" s="1"/>
  <c r="AO105"/>
  <c r="AW105" s="1"/>
  <c r="AK105"/>
  <c r="AJ105"/>
  <c r="AH105"/>
  <c r="AG105"/>
  <c r="AF105"/>
  <c r="AC105"/>
  <c r="AB105"/>
  <c r="Z105"/>
  <c r="O105"/>
  <c r="L105"/>
  <c r="M105" s="1"/>
  <c r="BW103"/>
  <c r="BJ103"/>
  <c r="BD103"/>
  <c r="AW103"/>
  <c r="AV103" s="1"/>
  <c r="AP103"/>
  <c r="AX103" s="1"/>
  <c r="AO103"/>
  <c r="BH103" s="1"/>
  <c r="AD103" s="1"/>
  <c r="AL103"/>
  <c r="AK103"/>
  <c r="AJ103"/>
  <c r="AH103"/>
  <c r="AG103"/>
  <c r="AF103"/>
  <c r="AC103"/>
  <c r="AB103"/>
  <c r="Z103"/>
  <c r="O103"/>
  <c r="BF103" s="1"/>
  <c r="M103"/>
  <c r="L103"/>
  <c r="J103"/>
  <c r="BW101"/>
  <c r="BJ101"/>
  <c r="BI101"/>
  <c r="AE101" s="1"/>
  <c r="BF101"/>
  <c r="BD101"/>
  <c r="AP101"/>
  <c r="AX101" s="1"/>
  <c r="AO101"/>
  <c r="AW101" s="1"/>
  <c r="AK101"/>
  <c r="AJ101"/>
  <c r="AH101"/>
  <c r="AG101"/>
  <c r="AF101"/>
  <c r="AC101"/>
  <c r="AB101"/>
  <c r="Z101"/>
  <c r="O101"/>
  <c r="L101"/>
  <c r="M101" s="1"/>
  <c r="K101"/>
  <c r="BW99"/>
  <c r="BJ99"/>
  <c r="BD99"/>
  <c r="AP99"/>
  <c r="AX99" s="1"/>
  <c r="AV99" s="1"/>
  <c r="AO99"/>
  <c r="AW99" s="1"/>
  <c r="AK99"/>
  <c r="AJ99"/>
  <c r="AH99"/>
  <c r="AG99"/>
  <c r="AF99"/>
  <c r="AC99"/>
  <c r="AB99"/>
  <c r="Z99"/>
  <c r="O99"/>
  <c r="BF99" s="1"/>
  <c r="L16" i="3" s="1"/>
  <c r="L99" i="4"/>
  <c r="BW96"/>
  <c r="BJ96"/>
  <c r="Z96" s="1"/>
  <c r="BI96"/>
  <c r="BH96"/>
  <c r="BF96"/>
  <c r="BD96"/>
  <c r="AP96"/>
  <c r="AX96" s="1"/>
  <c r="AO96"/>
  <c r="AW96" s="1"/>
  <c r="AK96"/>
  <c r="AJ96"/>
  <c r="AH96"/>
  <c r="AG96"/>
  <c r="AF96"/>
  <c r="AE96"/>
  <c r="AD96"/>
  <c r="AC96"/>
  <c r="AB96"/>
  <c r="O96"/>
  <c r="L96"/>
  <c r="M96" s="1"/>
  <c r="K96"/>
  <c r="J96"/>
  <c r="BW94"/>
  <c r="BJ94"/>
  <c r="BD94"/>
  <c r="BC94"/>
  <c r="AX94"/>
  <c r="AW94"/>
  <c r="AP94"/>
  <c r="BI94" s="1"/>
  <c r="AE94" s="1"/>
  <c r="AO94"/>
  <c r="BH94" s="1"/>
  <c r="AD94" s="1"/>
  <c r="AK94"/>
  <c r="AJ94"/>
  <c r="AH94"/>
  <c r="AG94"/>
  <c r="AF94"/>
  <c r="AC94"/>
  <c r="AB94"/>
  <c r="Z94"/>
  <c r="O94"/>
  <c r="BF94" s="1"/>
  <c r="L15" i="3" s="1"/>
  <c r="L94" i="4"/>
  <c r="AL94" s="1"/>
  <c r="K94"/>
  <c r="J94"/>
  <c r="BW92"/>
  <c r="BJ92"/>
  <c r="BF92"/>
  <c r="BD92"/>
  <c r="AP92"/>
  <c r="AX92" s="1"/>
  <c r="J15" i="3" s="1"/>
  <c r="AO92" i="4"/>
  <c r="AW92" s="1"/>
  <c r="AK92"/>
  <c r="AJ92"/>
  <c r="AH92"/>
  <c r="AG92"/>
  <c r="AF92"/>
  <c r="AC92"/>
  <c r="AB92"/>
  <c r="Z92"/>
  <c r="O92"/>
  <c r="O91" s="1"/>
  <c r="L92"/>
  <c r="M92" s="1"/>
  <c r="BW89"/>
  <c r="BJ89"/>
  <c r="Z89" s="1"/>
  <c r="BI89"/>
  <c r="BD89"/>
  <c r="AP89"/>
  <c r="AX89" s="1"/>
  <c r="AO89"/>
  <c r="BH89" s="1"/>
  <c r="AK89"/>
  <c r="AJ89"/>
  <c r="AH89"/>
  <c r="AG89"/>
  <c r="AF89"/>
  <c r="AE89"/>
  <c r="AD89"/>
  <c r="AC89"/>
  <c r="AB89"/>
  <c r="O89"/>
  <c r="BF89" s="1"/>
  <c r="L89"/>
  <c r="AL89" s="1"/>
  <c r="BW87"/>
  <c r="BJ87"/>
  <c r="Z87" s="1"/>
  <c r="BF87"/>
  <c r="BD87"/>
  <c r="AP87"/>
  <c r="AX87" s="1"/>
  <c r="AO87"/>
  <c r="AW87" s="1"/>
  <c r="AK87"/>
  <c r="AJ87"/>
  <c r="AH87"/>
  <c r="AG87"/>
  <c r="AF87"/>
  <c r="AE87"/>
  <c r="AD87"/>
  <c r="AC87"/>
  <c r="AB87"/>
  <c r="O87"/>
  <c r="L87"/>
  <c r="M87" s="1"/>
  <c r="BW84"/>
  <c r="BJ84"/>
  <c r="BD84"/>
  <c r="AP84"/>
  <c r="AX84" s="1"/>
  <c r="AO84"/>
  <c r="BH84" s="1"/>
  <c r="AL84"/>
  <c r="AK84"/>
  <c r="AJ84"/>
  <c r="AH84"/>
  <c r="AG84"/>
  <c r="AF84"/>
  <c r="AE84"/>
  <c r="AD84"/>
  <c r="AC84"/>
  <c r="AB84"/>
  <c r="Z84"/>
  <c r="O84"/>
  <c r="BF84" s="1"/>
  <c r="M84"/>
  <c r="L84"/>
  <c r="K84"/>
  <c r="J84"/>
  <c r="BW82"/>
  <c r="BJ82"/>
  <c r="Z82" s="1"/>
  <c r="BI82"/>
  <c r="BH82"/>
  <c r="BF82"/>
  <c r="BD82"/>
  <c r="AP82"/>
  <c r="AX82" s="1"/>
  <c r="AO82"/>
  <c r="AW82" s="1"/>
  <c r="AK82"/>
  <c r="AJ82"/>
  <c r="AH82"/>
  <c r="AG82"/>
  <c r="AF82"/>
  <c r="AE82"/>
  <c r="AD82"/>
  <c r="AC82"/>
  <c r="AB82"/>
  <c r="O82"/>
  <c r="L82"/>
  <c r="M82" s="1"/>
  <c r="BW81"/>
  <c r="BJ81"/>
  <c r="Z81" s="1"/>
  <c r="BD81"/>
  <c r="AP81"/>
  <c r="AX81" s="1"/>
  <c r="AV81" s="1"/>
  <c r="AO81"/>
  <c r="AW81" s="1"/>
  <c r="AK81"/>
  <c r="AT78" s="1"/>
  <c r="AJ81"/>
  <c r="AH81"/>
  <c r="AG81"/>
  <c r="AF81"/>
  <c r="AE81"/>
  <c r="AD81"/>
  <c r="AC81"/>
  <c r="AB81"/>
  <c r="O81"/>
  <c r="BF81" s="1"/>
  <c r="L81"/>
  <c r="AL81" s="1"/>
  <c r="BW79"/>
  <c r="BJ79"/>
  <c r="BF79"/>
  <c r="BD79"/>
  <c r="AW79"/>
  <c r="AP79"/>
  <c r="AX79" s="1"/>
  <c r="AO79"/>
  <c r="BH79" s="1"/>
  <c r="AK79"/>
  <c r="AJ79"/>
  <c r="AH79"/>
  <c r="AG79"/>
  <c r="AF79"/>
  <c r="AE79"/>
  <c r="AD79"/>
  <c r="AC79"/>
  <c r="AB79"/>
  <c r="Z79"/>
  <c r="O79"/>
  <c r="O78" s="1"/>
  <c r="L79"/>
  <c r="M79" s="1"/>
  <c r="J79"/>
  <c r="BW75"/>
  <c r="BJ75"/>
  <c r="BI75"/>
  <c r="AC75" s="1"/>
  <c r="BH75"/>
  <c r="BF75"/>
  <c r="BD75"/>
  <c r="AX75"/>
  <c r="AP75"/>
  <c r="K75" s="1"/>
  <c r="AO75"/>
  <c r="AW75" s="1"/>
  <c r="AK75"/>
  <c r="AJ75"/>
  <c r="AH75"/>
  <c r="AG75"/>
  <c r="AF75"/>
  <c r="AE75"/>
  <c r="AD75"/>
  <c r="AB75"/>
  <c r="Z75"/>
  <c r="O75"/>
  <c r="L75"/>
  <c r="AL75" s="1"/>
  <c r="BW73"/>
  <c r="BJ73"/>
  <c r="BF73"/>
  <c r="BD73"/>
  <c r="AP73"/>
  <c r="AX73" s="1"/>
  <c r="AO73"/>
  <c r="BH73" s="1"/>
  <c r="AB73" s="1"/>
  <c r="AK73"/>
  <c r="AJ73"/>
  <c r="AH73"/>
  <c r="AG73"/>
  <c r="AF73"/>
  <c r="AE73"/>
  <c r="AD73"/>
  <c r="Z73"/>
  <c r="O73"/>
  <c r="L73"/>
  <c r="M73" s="1"/>
  <c r="K73"/>
  <c r="BW71"/>
  <c r="BJ71"/>
  <c r="BF71"/>
  <c r="BD71"/>
  <c r="AP71"/>
  <c r="AX71" s="1"/>
  <c r="AO71"/>
  <c r="BH71" s="1"/>
  <c r="AB71" s="1"/>
  <c r="AL71"/>
  <c r="AK71"/>
  <c r="AJ71"/>
  <c r="AH71"/>
  <c r="AG71"/>
  <c r="AF71"/>
  <c r="AE71"/>
  <c r="AD71"/>
  <c r="Z71"/>
  <c r="O71"/>
  <c r="M71"/>
  <c r="L71"/>
  <c r="BW69"/>
  <c r="BJ69"/>
  <c r="BI69"/>
  <c r="AC69" s="1"/>
  <c r="BH69"/>
  <c r="AB69" s="1"/>
  <c r="BD69"/>
  <c r="AW69"/>
  <c r="AP69"/>
  <c r="AX69" s="1"/>
  <c r="AO69"/>
  <c r="AK69"/>
  <c r="AJ69"/>
  <c r="AH69"/>
  <c r="AG69"/>
  <c r="AF69"/>
  <c r="AE69"/>
  <c r="AD69"/>
  <c r="Z69"/>
  <c r="O69"/>
  <c r="BF69" s="1"/>
  <c r="L69"/>
  <c r="M69" s="1"/>
  <c r="K69"/>
  <c r="J69"/>
  <c r="BW67"/>
  <c r="BJ67"/>
  <c r="BH67"/>
  <c r="AB67" s="1"/>
  <c r="BF67"/>
  <c r="BD67"/>
  <c r="AP67"/>
  <c r="AX67" s="1"/>
  <c r="AO67"/>
  <c r="AW67" s="1"/>
  <c r="AK67"/>
  <c r="AJ67"/>
  <c r="AH67"/>
  <c r="AG67"/>
  <c r="AF67"/>
  <c r="AE67"/>
  <c r="AD67"/>
  <c r="Z67"/>
  <c r="O67"/>
  <c r="O66" s="1"/>
  <c r="L67"/>
  <c r="K67"/>
  <c r="J67"/>
  <c r="BW65"/>
  <c r="BJ65"/>
  <c r="Z65" s="1"/>
  <c r="BH65"/>
  <c r="BD65"/>
  <c r="AP65"/>
  <c r="AX65" s="1"/>
  <c r="AO65"/>
  <c r="AW65" s="1"/>
  <c r="AL65"/>
  <c r="AK65"/>
  <c r="AJ65"/>
  <c r="AH65"/>
  <c r="AG65"/>
  <c r="AF65"/>
  <c r="AE65"/>
  <c r="AD65"/>
  <c r="AC65"/>
  <c r="AB65"/>
  <c r="O65"/>
  <c r="BF65" s="1"/>
  <c r="L65"/>
  <c r="M65" s="1"/>
  <c r="K65"/>
  <c r="BW63"/>
  <c r="BJ63"/>
  <c r="BI63"/>
  <c r="AC63" s="1"/>
  <c r="BF63"/>
  <c r="BD63"/>
  <c r="AX63"/>
  <c r="AP63"/>
  <c r="K63" s="1"/>
  <c r="AO63"/>
  <c r="AW63" s="1"/>
  <c r="AK63"/>
  <c r="AJ63"/>
  <c r="AH63"/>
  <c r="AG63"/>
  <c r="AF63"/>
  <c r="AE63"/>
  <c r="AD63"/>
  <c r="Z63"/>
  <c r="O63"/>
  <c r="L63"/>
  <c r="AL63" s="1"/>
  <c r="J63"/>
  <c r="BW61"/>
  <c r="BJ61"/>
  <c r="BF61"/>
  <c r="BD61"/>
  <c r="AW61"/>
  <c r="AP61"/>
  <c r="AX61" s="1"/>
  <c r="AO61"/>
  <c r="BH61" s="1"/>
  <c r="AB61" s="1"/>
  <c r="AK61"/>
  <c r="AJ61"/>
  <c r="AH61"/>
  <c r="AG61"/>
  <c r="AF61"/>
  <c r="AE61"/>
  <c r="AD61"/>
  <c r="Z61"/>
  <c r="O61"/>
  <c r="O60" s="1"/>
  <c r="L61"/>
  <c r="M61" s="1"/>
  <c r="K61"/>
  <c r="J61"/>
  <c r="BW58"/>
  <c r="BJ58"/>
  <c r="BF58"/>
  <c r="BD58"/>
  <c r="AP58"/>
  <c r="AX58" s="1"/>
  <c r="AO58"/>
  <c r="AW58" s="1"/>
  <c r="AK58"/>
  <c r="AJ58"/>
  <c r="AH58"/>
  <c r="AG58"/>
  <c r="AF58"/>
  <c r="AE58"/>
  <c r="AD58"/>
  <c r="Z58"/>
  <c r="O58"/>
  <c r="L58"/>
  <c r="AL58" s="1"/>
  <c r="J58"/>
  <c r="BW56"/>
  <c r="BJ56"/>
  <c r="BF56"/>
  <c r="BD56"/>
  <c r="AP56"/>
  <c r="AX56" s="1"/>
  <c r="AO56"/>
  <c r="BH56" s="1"/>
  <c r="AB56" s="1"/>
  <c r="AK56"/>
  <c r="AJ56"/>
  <c r="AH56"/>
  <c r="AG56"/>
  <c r="AF56"/>
  <c r="AE56"/>
  <c r="AD56"/>
  <c r="Z56"/>
  <c r="O56"/>
  <c r="L56"/>
  <c r="M56" s="1"/>
  <c r="J56"/>
  <c r="BW54"/>
  <c r="BJ54"/>
  <c r="BF54"/>
  <c r="BD54"/>
  <c r="AP54"/>
  <c r="AX54" s="1"/>
  <c r="AO54"/>
  <c r="BH54" s="1"/>
  <c r="AB54" s="1"/>
  <c r="AK54"/>
  <c r="AJ54"/>
  <c r="AH54"/>
  <c r="AG54"/>
  <c r="AF54"/>
  <c r="AE54"/>
  <c r="AD54"/>
  <c r="Z54"/>
  <c r="O54"/>
  <c r="L54"/>
  <c r="AL54" s="1"/>
  <c r="K54"/>
  <c r="BW52"/>
  <c r="BJ52"/>
  <c r="BH52"/>
  <c r="AB52" s="1"/>
  <c r="BD52"/>
  <c r="AW52"/>
  <c r="AP52"/>
  <c r="AX52" s="1"/>
  <c r="AO52"/>
  <c r="AK52"/>
  <c r="AJ52"/>
  <c r="AH52"/>
  <c r="AG52"/>
  <c r="AF52"/>
  <c r="AE52"/>
  <c r="AD52"/>
  <c r="Z52"/>
  <c r="O52"/>
  <c r="BF52" s="1"/>
  <c r="L52"/>
  <c r="M52" s="1"/>
  <c r="J52"/>
  <c r="BW50"/>
  <c r="BJ50"/>
  <c r="BH50"/>
  <c r="BF50"/>
  <c r="BD50"/>
  <c r="AP50"/>
  <c r="K50" s="1"/>
  <c r="AO50"/>
  <c r="AW50" s="1"/>
  <c r="AK50"/>
  <c r="AJ50"/>
  <c r="AH50"/>
  <c r="AG50"/>
  <c r="AF50"/>
  <c r="AE50"/>
  <c r="AD50"/>
  <c r="AB50"/>
  <c r="Z50"/>
  <c r="O50"/>
  <c r="L50"/>
  <c r="AL50" s="1"/>
  <c r="BW48"/>
  <c r="BJ48"/>
  <c r="BF48"/>
  <c r="BD48"/>
  <c r="AW48"/>
  <c r="AP48"/>
  <c r="AX48" s="1"/>
  <c r="AO48"/>
  <c r="BH48" s="1"/>
  <c r="AB48" s="1"/>
  <c r="AK48"/>
  <c r="AJ48"/>
  <c r="AH48"/>
  <c r="AG48"/>
  <c r="AF48"/>
  <c r="AE48"/>
  <c r="AD48"/>
  <c r="Z48"/>
  <c r="O48"/>
  <c r="L48"/>
  <c r="M48" s="1"/>
  <c r="K48"/>
  <c r="J48"/>
  <c r="BW46"/>
  <c r="BJ46"/>
  <c r="BF46"/>
  <c r="BD46"/>
  <c r="AP46"/>
  <c r="AX46" s="1"/>
  <c r="AO46"/>
  <c r="BH46" s="1"/>
  <c r="AB46" s="1"/>
  <c r="AL46"/>
  <c r="AK46"/>
  <c r="AJ46"/>
  <c r="AH46"/>
  <c r="AG46"/>
  <c r="AF46"/>
  <c r="AE46"/>
  <c r="AD46"/>
  <c r="Z46"/>
  <c r="O46"/>
  <c r="L46"/>
  <c r="M46" s="1"/>
  <c r="K46"/>
  <c r="BW44"/>
  <c r="BJ44"/>
  <c r="BI44"/>
  <c r="AC44" s="1"/>
  <c r="BH44"/>
  <c r="AB44" s="1"/>
  <c r="BD44"/>
  <c r="AW44"/>
  <c r="AP44"/>
  <c r="AX44" s="1"/>
  <c r="AO44"/>
  <c r="AK44"/>
  <c r="AJ44"/>
  <c r="AH44"/>
  <c r="AG44"/>
  <c r="AF44"/>
  <c r="AE44"/>
  <c r="AD44"/>
  <c r="Z44"/>
  <c r="O44"/>
  <c r="BF44" s="1"/>
  <c r="L44"/>
  <c r="M44" s="1"/>
  <c r="J44"/>
  <c r="BW42"/>
  <c r="BJ42"/>
  <c r="BH42"/>
  <c r="AB42" s="1"/>
  <c r="BF42"/>
  <c r="BD42"/>
  <c r="AP42"/>
  <c r="AX42" s="1"/>
  <c r="AO42"/>
  <c r="AW42" s="1"/>
  <c r="AK42"/>
  <c r="AJ42"/>
  <c r="AH42"/>
  <c r="AG42"/>
  <c r="AF42"/>
  <c r="AE42"/>
  <c r="AD42"/>
  <c r="Z42"/>
  <c r="O42"/>
  <c r="L42"/>
  <c r="AL42" s="1"/>
  <c r="K42"/>
  <c r="J42"/>
  <c r="BW40"/>
  <c r="BJ40"/>
  <c r="BF40"/>
  <c r="BD40"/>
  <c r="AP40"/>
  <c r="AX40" s="1"/>
  <c r="AO40"/>
  <c r="BH40" s="1"/>
  <c r="AB40" s="1"/>
  <c r="AK40"/>
  <c r="AJ40"/>
  <c r="AH40"/>
  <c r="AG40"/>
  <c r="AF40"/>
  <c r="AE40"/>
  <c r="AD40"/>
  <c r="Z40"/>
  <c r="O40"/>
  <c r="L40"/>
  <c r="M40" s="1"/>
  <c r="K40"/>
  <c r="BW38"/>
  <c r="BJ38"/>
  <c r="BD38"/>
  <c r="AW38"/>
  <c r="AP38"/>
  <c r="AX38" s="1"/>
  <c r="AO38"/>
  <c r="BH38" s="1"/>
  <c r="AB38" s="1"/>
  <c r="AL38"/>
  <c r="AK38"/>
  <c r="AJ38"/>
  <c r="AH38"/>
  <c r="AG38"/>
  <c r="AF38"/>
  <c r="AE38"/>
  <c r="AD38"/>
  <c r="Z38"/>
  <c r="O38"/>
  <c r="BF38" s="1"/>
  <c r="M38"/>
  <c r="L38"/>
  <c r="J38"/>
  <c r="BW36"/>
  <c r="BJ36"/>
  <c r="BH36"/>
  <c r="BD36"/>
  <c r="AP36"/>
  <c r="AX36" s="1"/>
  <c r="AO36"/>
  <c r="AW36" s="1"/>
  <c r="AL36"/>
  <c r="AK36"/>
  <c r="AJ36"/>
  <c r="AH36"/>
  <c r="AG36"/>
  <c r="AF36"/>
  <c r="AE36"/>
  <c r="AD36"/>
  <c r="AB36"/>
  <c r="Z36"/>
  <c r="O36"/>
  <c r="BF36" s="1"/>
  <c r="L36"/>
  <c r="M36" s="1"/>
  <c r="K36"/>
  <c r="J36"/>
  <c r="BW34"/>
  <c r="BJ34"/>
  <c r="BI34"/>
  <c r="AC34" s="1"/>
  <c r="BH34"/>
  <c r="AB34" s="1"/>
  <c r="BF34"/>
  <c r="BD34"/>
  <c r="AP34"/>
  <c r="AX34" s="1"/>
  <c r="AO34"/>
  <c r="AW34" s="1"/>
  <c r="AK34"/>
  <c r="AJ34"/>
  <c r="AH34"/>
  <c r="AG34"/>
  <c r="AF34"/>
  <c r="AE34"/>
  <c r="AD34"/>
  <c r="Z34"/>
  <c r="O34"/>
  <c r="L34"/>
  <c r="AL34" s="1"/>
  <c r="K34"/>
  <c r="J34"/>
  <c r="BW32"/>
  <c r="BJ32"/>
  <c r="BF32"/>
  <c r="BD32"/>
  <c r="AW32"/>
  <c r="AP32"/>
  <c r="AX32" s="1"/>
  <c r="AO32"/>
  <c r="BH32" s="1"/>
  <c r="AB32" s="1"/>
  <c r="AK32"/>
  <c r="AJ32"/>
  <c r="AH32"/>
  <c r="AG32"/>
  <c r="AF32"/>
  <c r="AE32"/>
  <c r="AD32"/>
  <c r="Z32"/>
  <c r="O32"/>
  <c r="L32"/>
  <c r="M32" s="1"/>
  <c r="BW30"/>
  <c r="BJ30"/>
  <c r="BD30"/>
  <c r="AP30"/>
  <c r="AX30" s="1"/>
  <c r="AO30"/>
  <c r="BH30" s="1"/>
  <c r="AB30" s="1"/>
  <c r="AK30"/>
  <c r="AJ30"/>
  <c r="AH30"/>
  <c r="AG30"/>
  <c r="AF30"/>
  <c r="AE30"/>
  <c r="AD30"/>
  <c r="Z30"/>
  <c r="O30"/>
  <c r="BF30" s="1"/>
  <c r="L30"/>
  <c r="M30" s="1"/>
  <c r="K30"/>
  <c r="BW28"/>
  <c r="BJ28"/>
  <c r="BD28"/>
  <c r="AP28"/>
  <c r="AX28" s="1"/>
  <c r="AO28"/>
  <c r="AW28" s="1"/>
  <c r="AK28"/>
  <c r="AJ28"/>
  <c r="AH28"/>
  <c r="AG28"/>
  <c r="AF28"/>
  <c r="AE28"/>
  <c r="AD28"/>
  <c r="Z28"/>
  <c r="O28"/>
  <c r="BF28" s="1"/>
  <c r="L14" i="3" s="1"/>
  <c r="L28" i="4"/>
  <c r="M28" s="1"/>
  <c r="BW26"/>
  <c r="BJ26"/>
  <c r="BI26"/>
  <c r="AC26" s="1"/>
  <c r="BF26"/>
  <c r="BD26"/>
  <c r="AP26"/>
  <c r="AX26" s="1"/>
  <c r="AO26"/>
  <c r="AW26" s="1"/>
  <c r="AK26"/>
  <c r="AJ26"/>
  <c r="AH26"/>
  <c r="AG26"/>
  <c r="AF26"/>
  <c r="AE26"/>
  <c r="AD26"/>
  <c r="Z26"/>
  <c r="O26"/>
  <c r="L26"/>
  <c r="AL26" s="1"/>
  <c r="K26"/>
  <c r="BW24"/>
  <c r="BJ24"/>
  <c r="BF24"/>
  <c r="BD24"/>
  <c r="AP24"/>
  <c r="AX24" s="1"/>
  <c r="AO24"/>
  <c r="BH24" s="1"/>
  <c r="AB24" s="1"/>
  <c r="AK24"/>
  <c r="AJ24"/>
  <c r="AH24"/>
  <c r="AG24"/>
  <c r="AF24"/>
  <c r="AE24"/>
  <c r="AD24"/>
  <c r="Z24"/>
  <c r="O24"/>
  <c r="O23" s="1"/>
  <c r="L24"/>
  <c r="M24" s="1"/>
  <c r="J24"/>
  <c r="BW21"/>
  <c r="BJ21"/>
  <c r="BF21"/>
  <c r="BD21"/>
  <c r="AX21"/>
  <c r="AP21"/>
  <c r="BI21" s="1"/>
  <c r="AC21" s="1"/>
  <c r="AO21"/>
  <c r="AW21" s="1"/>
  <c r="AK21"/>
  <c r="AJ21"/>
  <c r="AH21"/>
  <c r="AG21"/>
  <c r="AF21"/>
  <c r="AE21"/>
  <c r="AD21"/>
  <c r="Z21"/>
  <c r="O21"/>
  <c r="O20" s="1"/>
  <c r="L21"/>
  <c r="L20" s="1"/>
  <c r="AT20"/>
  <c r="AS20"/>
  <c r="BW18"/>
  <c r="BJ18"/>
  <c r="BD18"/>
  <c r="AP18"/>
  <c r="AX18" s="1"/>
  <c r="AO18"/>
  <c r="AW18" s="1"/>
  <c r="AL18"/>
  <c r="AK18"/>
  <c r="AJ18"/>
  <c r="AH18"/>
  <c r="AG18"/>
  <c r="AF18"/>
  <c r="AE18"/>
  <c r="AD18"/>
  <c r="Z18"/>
  <c r="O18"/>
  <c r="BF18" s="1"/>
  <c r="L13" i="3" s="1"/>
  <c r="L18" i="4"/>
  <c r="M18" s="1"/>
  <c r="BW16"/>
  <c r="BJ16"/>
  <c r="BI16"/>
  <c r="AC16" s="1"/>
  <c r="BF16"/>
  <c r="BD16"/>
  <c r="AX16"/>
  <c r="AP16"/>
  <c r="AO16"/>
  <c r="AW16" s="1"/>
  <c r="AK16"/>
  <c r="AT13" s="1"/>
  <c r="AJ16"/>
  <c r="AS13" s="1"/>
  <c r="AH16"/>
  <c r="AG16"/>
  <c r="AF16"/>
  <c r="AE16"/>
  <c r="AD16"/>
  <c r="Z16"/>
  <c r="O16"/>
  <c r="L16"/>
  <c r="AL16" s="1"/>
  <c r="K16"/>
  <c r="J16"/>
  <c r="BW14"/>
  <c r="BJ14"/>
  <c r="BF14"/>
  <c r="BD14"/>
  <c r="AW14"/>
  <c r="AP14"/>
  <c r="AX14" s="1"/>
  <c r="AO14"/>
  <c r="BH14" s="1"/>
  <c r="AB14" s="1"/>
  <c r="AK14"/>
  <c r="AJ14"/>
  <c r="AH14"/>
  <c r="AG14"/>
  <c r="AF14"/>
  <c r="AE14"/>
  <c r="AD14"/>
  <c r="Z14"/>
  <c r="O14"/>
  <c r="O13" s="1"/>
  <c r="L14"/>
  <c r="M14" s="1"/>
  <c r="J14"/>
  <c r="AU1"/>
  <c r="AT1"/>
  <c r="AS1"/>
  <c r="P17" i="3"/>
  <c r="P16"/>
  <c r="P15"/>
  <c r="P14"/>
  <c r="P13"/>
  <c r="N12"/>
  <c r="J8"/>
  <c r="H8"/>
  <c r="D8"/>
  <c r="J6"/>
  <c r="H6"/>
  <c r="D6"/>
  <c r="J4"/>
  <c r="H4"/>
  <c r="D4"/>
  <c r="J2"/>
  <c r="H2"/>
  <c r="D2"/>
  <c r="I36" i="2"/>
  <c r="I35"/>
  <c r="I26"/>
  <c r="I19" i="1" s="1"/>
  <c r="I25" i="2"/>
  <c r="I24"/>
  <c r="I23"/>
  <c r="I22"/>
  <c r="I15" i="1" s="1"/>
  <c r="I21" i="2"/>
  <c r="I14" i="1" s="1"/>
  <c r="I18" i="2"/>
  <c r="I17"/>
  <c r="F16" i="1" s="1"/>
  <c r="I16" i="2"/>
  <c r="I15"/>
  <c r="I10"/>
  <c r="F10"/>
  <c r="C10"/>
  <c r="F8"/>
  <c r="C8"/>
  <c r="F6"/>
  <c r="C6"/>
  <c r="F4"/>
  <c r="C4"/>
  <c r="F2"/>
  <c r="C2"/>
  <c r="I24" i="1"/>
  <c r="I18"/>
  <c r="I17"/>
  <c r="I16"/>
  <c r="F15"/>
  <c r="F14"/>
  <c r="I10"/>
  <c r="F10"/>
  <c r="C10"/>
  <c r="F8"/>
  <c r="C8"/>
  <c r="F6"/>
  <c r="C6"/>
  <c r="F4"/>
  <c r="C4"/>
  <c r="F2"/>
  <c r="C2"/>
  <c r="J101" i="4" l="1"/>
  <c r="BH101"/>
  <c r="AD101" s="1"/>
  <c r="BC99"/>
  <c r="AL101"/>
  <c r="K107"/>
  <c r="BH99"/>
  <c r="AD99" s="1"/>
  <c r="AS98"/>
  <c r="K105"/>
  <c r="BI99"/>
  <c r="AE99" s="1"/>
  <c r="J105"/>
  <c r="L98"/>
  <c r="K99"/>
  <c r="K98" s="1"/>
  <c r="J99"/>
  <c r="K103"/>
  <c r="BC103"/>
  <c r="AT98"/>
  <c r="J16" i="3"/>
  <c r="AL96" i="4"/>
  <c r="AV94"/>
  <c r="K92"/>
  <c r="K91" s="1"/>
  <c r="J92"/>
  <c r="J91" s="1"/>
  <c r="AT91"/>
  <c r="AS91"/>
  <c r="BC81"/>
  <c r="K82"/>
  <c r="J82"/>
  <c r="J89"/>
  <c r="AW89"/>
  <c r="BC89" s="1"/>
  <c r="BI81"/>
  <c r="AL82"/>
  <c r="K87"/>
  <c r="BH81"/>
  <c r="J87"/>
  <c r="J78" s="1"/>
  <c r="K81"/>
  <c r="J81"/>
  <c r="AW84"/>
  <c r="AV84" s="1"/>
  <c r="K79"/>
  <c r="AS78"/>
  <c r="K89"/>
  <c r="AT66"/>
  <c r="AV69"/>
  <c r="BI67"/>
  <c r="AC67" s="1"/>
  <c r="J75"/>
  <c r="K66"/>
  <c r="AS66"/>
  <c r="J73"/>
  <c r="AW73"/>
  <c r="BC73" s="1"/>
  <c r="L66"/>
  <c r="AL69"/>
  <c r="K71"/>
  <c r="J71"/>
  <c r="AW71"/>
  <c r="AV71" s="1"/>
  <c r="BH63"/>
  <c r="AB63" s="1"/>
  <c r="K60"/>
  <c r="AT60"/>
  <c r="AS60"/>
  <c r="BI65"/>
  <c r="J65"/>
  <c r="J60" s="1"/>
  <c r="AV65"/>
  <c r="BI58"/>
  <c r="AC58" s="1"/>
  <c r="BH58"/>
  <c r="AB58" s="1"/>
  <c r="C28" i="1"/>
  <c r="F28" s="1"/>
  <c r="K58" i="4"/>
  <c r="J50"/>
  <c r="BI42"/>
  <c r="AC42" s="1"/>
  <c r="AL44"/>
  <c r="AX50"/>
  <c r="M54"/>
  <c r="AW56"/>
  <c r="BC56" s="1"/>
  <c r="J54"/>
  <c r="AW54"/>
  <c r="AV54" s="1"/>
  <c r="BI52"/>
  <c r="AC52" s="1"/>
  <c r="AT23"/>
  <c r="J46"/>
  <c r="AW46"/>
  <c r="AV46" s="1"/>
  <c r="K52"/>
  <c r="K44"/>
  <c r="BI50"/>
  <c r="AC50" s="1"/>
  <c r="AL52"/>
  <c r="K56"/>
  <c r="AL30"/>
  <c r="BH28"/>
  <c r="AB28" s="1"/>
  <c r="BI28"/>
  <c r="AC28" s="1"/>
  <c r="K28"/>
  <c r="J28"/>
  <c r="BH26"/>
  <c r="AB26" s="1"/>
  <c r="J40"/>
  <c r="AL28"/>
  <c r="J26"/>
  <c r="J23" s="1"/>
  <c r="K32"/>
  <c r="J32"/>
  <c r="AW40"/>
  <c r="K24"/>
  <c r="K38"/>
  <c r="AW24"/>
  <c r="AS23"/>
  <c r="J30"/>
  <c r="AW30"/>
  <c r="AV30" s="1"/>
  <c r="BI36"/>
  <c r="AC36" s="1"/>
  <c r="K21"/>
  <c r="K20" s="1"/>
  <c r="J21"/>
  <c r="J20" s="1"/>
  <c r="BH21"/>
  <c r="AB21" s="1"/>
  <c r="K14"/>
  <c r="BI18"/>
  <c r="AC18" s="1"/>
  <c r="J13"/>
  <c r="K18"/>
  <c r="BH18"/>
  <c r="AB18" s="1"/>
  <c r="J18"/>
  <c r="BH16"/>
  <c r="AB16" s="1"/>
  <c r="H49" i="6"/>
  <c r="F29" i="5" s="1"/>
  <c r="I49" i="6"/>
  <c r="G29" i="5" s="1"/>
  <c r="H34" i="6"/>
  <c r="F9" i="5" s="1"/>
  <c r="F12" s="1"/>
  <c r="G27"/>
  <c r="I34" i="6"/>
  <c r="F27" i="7"/>
  <c r="C21" i="1"/>
  <c r="F15" i="7"/>
  <c r="C27" i="1"/>
  <c r="F35" i="7"/>
  <c r="F22" i="1"/>
  <c r="AS109" i="4"/>
  <c r="C20" i="1"/>
  <c r="AV14" i="4"/>
  <c r="J13" i="3"/>
  <c r="BC14" i="4"/>
  <c r="AV48"/>
  <c r="BC48"/>
  <c r="AV63"/>
  <c r="BC63"/>
  <c r="AV42"/>
  <c r="BC42"/>
  <c r="AV87"/>
  <c r="BC87"/>
  <c r="K16" i="3"/>
  <c r="N16" s="1"/>
  <c r="AV75" i="4"/>
  <c r="BC75"/>
  <c r="AV105"/>
  <c r="BC105"/>
  <c r="AV28"/>
  <c r="BC28"/>
  <c r="AV34"/>
  <c r="BC34"/>
  <c r="AV67"/>
  <c r="BC67"/>
  <c r="L17" i="3"/>
  <c r="I14"/>
  <c r="AV21" i="4"/>
  <c r="BC21"/>
  <c r="AV61"/>
  <c r="BC61"/>
  <c r="AV40"/>
  <c r="BC40"/>
  <c r="AV26"/>
  <c r="BC26"/>
  <c r="AV52"/>
  <c r="BC52"/>
  <c r="AV38"/>
  <c r="AV18"/>
  <c r="BC18"/>
  <c r="AV92"/>
  <c r="BC92"/>
  <c r="I15" i="3"/>
  <c r="BC65" i="4"/>
  <c r="AV32"/>
  <c r="BC32"/>
  <c r="AV24"/>
  <c r="BC24"/>
  <c r="J14" i="3"/>
  <c r="AV44" i="4"/>
  <c r="BC44"/>
  <c r="AV58"/>
  <c r="BC58"/>
  <c r="AV79"/>
  <c r="BC79"/>
  <c r="O12"/>
  <c r="L12" i="3" s="1"/>
  <c r="AV96" i="4"/>
  <c r="BC96"/>
  <c r="I16" i="3"/>
  <c r="AV101" i="4"/>
  <c r="BC101"/>
  <c r="AV36"/>
  <c r="BC36"/>
  <c r="AV56"/>
  <c r="M13"/>
  <c r="BC69"/>
  <c r="AV16"/>
  <c r="BC16"/>
  <c r="I13" i="3"/>
  <c r="AV50" i="4"/>
  <c r="BC50"/>
  <c r="AV82"/>
  <c r="BC82"/>
  <c r="AL14"/>
  <c r="AU13" s="1"/>
  <c r="M16"/>
  <c r="M21"/>
  <c r="M20" s="1"/>
  <c r="AL24"/>
  <c r="M26"/>
  <c r="AL32"/>
  <c r="M34"/>
  <c r="AL40"/>
  <c r="M42"/>
  <c r="AL48"/>
  <c r="M50"/>
  <c r="AL56"/>
  <c r="M58"/>
  <c r="AL61"/>
  <c r="AU60" s="1"/>
  <c r="M63"/>
  <c r="M60" s="1"/>
  <c r="M67"/>
  <c r="AL73"/>
  <c r="M75"/>
  <c r="AL79"/>
  <c r="M81"/>
  <c r="AL87"/>
  <c r="M89"/>
  <c r="AL92"/>
  <c r="AU91" s="1"/>
  <c r="M94"/>
  <c r="M91" s="1"/>
  <c r="M99"/>
  <c r="AL105"/>
  <c r="M107"/>
  <c r="BI30"/>
  <c r="AC30" s="1"/>
  <c r="BI38"/>
  <c r="AC38" s="1"/>
  <c r="BI46"/>
  <c r="AC46" s="1"/>
  <c r="BI54"/>
  <c r="AC54" s="1"/>
  <c r="BI71"/>
  <c r="AC71" s="1"/>
  <c r="BI84"/>
  <c r="BI103"/>
  <c r="AE103" s="1"/>
  <c r="O109"/>
  <c r="AL21"/>
  <c r="AU20" s="1"/>
  <c r="AL67"/>
  <c r="AL99"/>
  <c r="L13"/>
  <c r="L23"/>
  <c r="L60"/>
  <c r="L78"/>
  <c r="L91"/>
  <c r="BI14"/>
  <c r="AC14" s="1"/>
  <c r="BI24"/>
  <c r="AC24" s="1"/>
  <c r="BI32"/>
  <c r="AC32" s="1"/>
  <c r="BC38"/>
  <c r="BI40"/>
  <c r="AC40" s="1"/>
  <c r="BC46"/>
  <c r="BI48"/>
  <c r="AC48" s="1"/>
  <c r="BC54"/>
  <c r="BI56"/>
  <c r="AC56" s="1"/>
  <c r="BI61"/>
  <c r="AC61" s="1"/>
  <c r="BI73"/>
  <c r="AC73" s="1"/>
  <c r="BI79"/>
  <c r="BC84"/>
  <c r="BI87"/>
  <c r="BI92"/>
  <c r="AE92" s="1"/>
  <c r="C17" i="1" s="1"/>
  <c r="BI105" i="4"/>
  <c r="AE105" s="1"/>
  <c r="BH87"/>
  <c r="BH92"/>
  <c r="AD92" s="1"/>
  <c r="O98"/>
  <c r="BH105"/>
  <c r="AD105" s="1"/>
  <c r="AU98" l="1"/>
  <c r="M98"/>
  <c r="J98"/>
  <c r="K15" i="3"/>
  <c r="N15" s="1"/>
  <c r="AV89" i="4"/>
  <c r="AU78"/>
  <c r="M78"/>
  <c r="K78"/>
  <c r="AU66"/>
  <c r="BC71"/>
  <c r="J66"/>
  <c r="M66"/>
  <c r="AV73"/>
  <c r="M23"/>
  <c r="BC30"/>
  <c r="K14" i="3"/>
  <c r="N14" s="1"/>
  <c r="K23" i="4"/>
  <c r="C14" i="1"/>
  <c r="K13" i="4"/>
  <c r="K13" i="3"/>
  <c r="N13" s="1"/>
  <c r="G31" i="5"/>
  <c r="F14"/>
  <c r="F31" s="1"/>
  <c r="H113" i="4"/>
  <c r="L113" s="1"/>
  <c r="M113" s="1"/>
  <c r="M112" s="1"/>
  <c r="C15" i="1"/>
  <c r="AU23" i="4"/>
  <c r="C16" i="1"/>
  <c r="F34" i="5" l="1"/>
  <c r="H110" i="4" s="1"/>
  <c r="BJ110" s="1"/>
  <c r="BJ113"/>
  <c r="AO113"/>
  <c r="BH113" s="1"/>
  <c r="AF113" s="1"/>
  <c r="AP113"/>
  <c r="AX113" s="1"/>
  <c r="BD113"/>
  <c r="AL113"/>
  <c r="AU112" s="1"/>
  <c r="L112"/>
  <c r="AO110" l="1"/>
  <c r="AW110" s="1"/>
  <c r="I17" i="3" s="1"/>
  <c r="L110" i="4"/>
  <c r="AL110" s="1"/>
  <c r="AU109" s="1"/>
  <c r="AP110"/>
  <c r="BI110" s="1"/>
  <c r="AG110" s="1"/>
  <c r="BD110"/>
  <c r="BI113"/>
  <c r="AG113" s="1"/>
  <c r="K113"/>
  <c r="K112" s="1"/>
  <c r="AW113"/>
  <c r="BC113" s="1"/>
  <c r="J113"/>
  <c r="J112" s="1"/>
  <c r="M110" l="1"/>
  <c r="M109" s="1"/>
  <c r="AX110"/>
  <c r="J17" i="3" s="1"/>
  <c r="BH110" i="4"/>
  <c r="AF110" s="1"/>
  <c r="C18" i="1" s="1"/>
  <c r="L109" i="4"/>
  <c r="L12" s="1"/>
  <c r="K12" i="3" s="1"/>
  <c r="P12" s="1"/>
  <c r="K110" i="4"/>
  <c r="K109" s="1"/>
  <c r="J110"/>
  <c r="J109" s="1"/>
  <c r="J12" s="1"/>
  <c r="I12" i="3" s="1"/>
  <c r="M115" i="4"/>
  <c r="M12"/>
  <c r="C19" i="1"/>
  <c r="C22" s="1"/>
  <c r="I22" s="1"/>
  <c r="C29" s="1"/>
  <c r="I28" s="1"/>
  <c r="L115" i="4"/>
  <c r="K12"/>
  <c r="J12" i="3" s="1"/>
  <c r="AV113" i="4"/>
  <c r="K17" i="3" l="1"/>
  <c r="N17" s="1"/>
  <c r="K18" s="1"/>
  <c r="BC110" i="4"/>
  <c r="AV110"/>
  <c r="H27" i="2"/>
  <c r="I27" s="1"/>
  <c r="F29" s="1"/>
  <c r="F29" i="1"/>
  <c r="I29" s="1"/>
</calcChain>
</file>

<file path=xl/sharedStrings.xml><?xml version="1.0" encoding="utf-8"?>
<sst xmlns="http://schemas.openxmlformats.org/spreadsheetml/2006/main" count="1266" uniqueCount="424">
  <si>
    <t>Krycí list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</si>
  <si>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</si>
  <si>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</si>
  <si>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</si>
  <si>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</si>
  <si>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</si>
  <si>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</si>
  <si>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</si>
  <si>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</si>
  <si>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</si>
  <si>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</si>
  <si>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</si>
  <si>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</si>
  <si>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</si>
  <si>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</si>
  <si>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</si>
  <si>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</si>
  <si>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</si>
  <si>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</si>
  <si>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</si>
  <si>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</si>
  <si>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</si>
  <si>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</si>
  <si>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</si>
  <si>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</si>
  <si>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</si>
  <si>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</si>
  <si>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</si>
  <si>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</si>
  <si>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</si>
  <si>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</si>
  <si>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</si>
  <si>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</si>
  <si>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</si>
  <si>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</si>
  <si>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</si>
  <si>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</si>
  <si>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</si>
  <si>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</si>
  <si>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</si>
  <si>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</si>
  <si>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</si>
  <si>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</si>
  <si>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</si>
  <si>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</si>
  <si>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</si>
  <si>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</si>
  <si>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</si>
  <si>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</si>
  <si>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</si>
  <si>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</si>
  <si>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</si>
  <si>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</si>
  <si>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</si>
  <si>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</si>
  <si>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</si>
  <si>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</si>
  <si>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</si>
  <si>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</si>
  <si>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</si>
  <si>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</si>
  <si>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</si>
  <si>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</si>
  <si>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</si>
  <si>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</si>
  <si>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</si>
  <si>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</si>
  <si>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</si>
  <si>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</si>
  <si>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Stavební rozpočet - Jen skupiny</t>
  </si>
  <si>
    <t>Doba výstavby:</t>
  </si>
  <si>
    <t>Zpracováno dne:</t>
  </si>
  <si>
    <t xml:space="preserve"> </t>
  </si>
  <si>
    <t>Náklady (Kč)</t>
  </si>
  <si>
    <t>Hmotnost (t)</t>
  </si>
  <si>
    <t>Objekt</t>
  </si>
  <si>
    <t>Kód</t>
  </si>
  <si>
    <t>Zkrácený popis</t>
  </si>
  <si>
    <t>Dodávka</t>
  </si>
  <si>
    <t>Celkem</t>
  </si>
  <si>
    <t>Nezařazeno</t>
  </si>
  <si>
    <t>F</t>
  </si>
  <si>
    <t>3</t>
  </si>
  <si>
    <t>Svislé a kompletní konstrukce</t>
  </si>
  <si>
    <t>T</t>
  </si>
  <si>
    <t>6</t>
  </si>
  <si>
    <t>Úpravy povrchů a osazování výplní otvorů</t>
  </si>
  <si>
    <t>76</t>
  </si>
  <si>
    <t>Konstrukce</t>
  </si>
  <si>
    <t>78</t>
  </si>
  <si>
    <t>Dokončovací práce</t>
  </si>
  <si>
    <t>9</t>
  </si>
  <si>
    <t>Dokončovací práce, demolice</t>
  </si>
  <si>
    <t>Celkem:</t>
  </si>
  <si>
    <t>Stavební rozpočet</t>
  </si>
  <si>
    <t>Dokončení únikové cesty typu B - budova nemocnice</t>
  </si>
  <si>
    <t> </t>
  </si>
  <si>
    <t>Nemocnice Letovice, p. o.</t>
  </si>
  <si>
    <t>30.09.2024</t>
  </si>
  <si>
    <t>Letovice, okr. Blansko, Jihomoravský</t>
  </si>
  <si>
    <t>Č</t>
  </si>
  <si>
    <t>MJ</t>
  </si>
  <si>
    <t>Množství</t>
  </si>
  <si>
    <t>Cena/MJ</t>
  </si>
  <si>
    <t>Sazba DPH</t>
  </si>
  <si>
    <t>Cenová</t>
  </si>
  <si>
    <t>ISWORK</t>
  </si>
  <si>
    <t>GROUPCODE</t>
  </si>
  <si>
    <t>VATTAX</t>
  </si>
  <si>
    <t>Rozměry</t>
  </si>
  <si>
    <t>(Kč)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</si>
  <si>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</si>
  <si>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</si>
  <si>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</si>
  <si>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</si>
  <si>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</si>
  <si>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</si>
  <si>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</si>
  <si>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</si>
  <si>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</si>
  <si>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</si>
  <si>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</si>
  <si>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</si>
  <si>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</si>
  <si>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</si>
  <si>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</si>
  <si>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34</t>
  </si>
  <si>
    <t>Stěny a příčky</t>
  </si>
  <si>
    <t>1</t>
  </si>
  <si>
    <t>342263514RT2</t>
  </si>
  <si>
    <t>Revizní dvířka Promat do SDK příček, 400x400 mm</t>
  </si>
  <si>
    <t>kus</t>
  </si>
  <si>
    <t>21</t>
  </si>
  <si>
    <t>RTS I / 2024</t>
  </si>
  <si>
    <t>34_</t>
  </si>
  <si>
    <t>_3_</t>
  </si>
  <si>
    <t>_</t>
  </si>
  <si>
    <t>2</t>
  </si>
  <si>
    <t>342265112RT4</t>
  </si>
  <si>
    <t>Úprava podkroví sádrokarton. na ocel. rošt, svislá</t>
  </si>
  <si>
    <t>m2</t>
  </si>
  <si>
    <t>0,6*(0,6*2+1,2)+0,2*(0,6*2+1,2)</t>
  </si>
  <si>
    <t>342265132RT4</t>
  </si>
  <si>
    <t>Úprava podkroví sádrokarton. na ocel. rošt vodor.</t>
  </si>
  <si>
    <t>0,6*1,2</t>
  </si>
  <si>
    <t>61</t>
  </si>
  <si>
    <t>Úprava povrchů vnitřní</t>
  </si>
  <si>
    <t>4</t>
  </si>
  <si>
    <t>612401391RT2</t>
  </si>
  <si>
    <t>Omítka malých ploch vnitřních stěn do 1 m2</t>
  </si>
  <si>
    <t>61_</t>
  </si>
  <si>
    <t>_6_</t>
  </si>
  <si>
    <t>2*(9)</t>
  </si>
  <si>
    <t>co otvor to 2 m2</t>
  </si>
  <si>
    <t>64</t>
  </si>
  <si>
    <t>Výplně otvorů</t>
  </si>
  <si>
    <t>5</t>
  </si>
  <si>
    <t>642951121R00</t>
  </si>
  <si>
    <t>Dodatečné osaz. dřev.zárubní hrubých, pl.do 2,5 m2</t>
  </si>
  <si>
    <t>64_</t>
  </si>
  <si>
    <t>1/TR</t>
  </si>
  <si>
    <t>611891001VD</t>
  </si>
  <si>
    <t>sestava dveřa a záruben 9000/1970 pož odolné EI30-S200-C3-DP3</t>
  </si>
  <si>
    <t>KUS</t>
  </si>
  <si>
    <t>2024</t>
  </si>
  <si>
    <t>7</t>
  </si>
  <si>
    <t>2/TR</t>
  </si>
  <si>
    <t>8</t>
  </si>
  <si>
    <t>611891002VD</t>
  </si>
  <si>
    <t>sestava dveře a záruben 1100/1970 pož odolné EI30-S200-C3-DP3</t>
  </si>
  <si>
    <t>3/TR</t>
  </si>
  <si>
    <t>10</t>
  </si>
  <si>
    <t>611891003VD</t>
  </si>
  <si>
    <t>sestava dveře a záruben 1000/2150 pož odolné EI30-S200-C3-DP3</t>
  </si>
  <si>
    <t>11</t>
  </si>
  <si>
    <t>642951221R00</t>
  </si>
  <si>
    <t>Dodatečné osaz. dřev.zárubní hrubých,pl.nad 2,5 m2</t>
  </si>
  <si>
    <t>4/TR</t>
  </si>
  <si>
    <t>12</t>
  </si>
  <si>
    <t>611891004VD</t>
  </si>
  <si>
    <t>sestava dveře a záruben 1500/2150 pož odolné EI30-S200-C3-DP3</t>
  </si>
  <si>
    <t>13</t>
  </si>
  <si>
    <t>5/TR</t>
  </si>
  <si>
    <t>14</t>
  </si>
  <si>
    <t>611891005VD</t>
  </si>
  <si>
    <t>sestava záruben a dveře 1200/1970 pož odolné EI30-S200-C3-DP3</t>
  </si>
  <si>
    <t>15</t>
  </si>
  <si>
    <t>6/TR</t>
  </si>
  <si>
    <t>16</t>
  </si>
  <si>
    <t>611891006VD</t>
  </si>
  <si>
    <t>sestavaPROSKLENÁ STĚNA 1900/2100 pož odolné EI30-S200-C3-DP3</t>
  </si>
  <si>
    <t>17</t>
  </si>
  <si>
    <t>7/TR</t>
  </si>
  <si>
    <t>18</t>
  </si>
  <si>
    <t>611891007VD</t>
  </si>
  <si>
    <t>sestava PROSKLENÁ STĚNA 1450/2100 pož odolné EI45--DP3</t>
  </si>
  <si>
    <t>19</t>
  </si>
  <si>
    <t>8/TR</t>
  </si>
  <si>
    <t>20</t>
  </si>
  <si>
    <t>611891008VD</t>
  </si>
  <si>
    <t>sestava PROSKLENÁ STĚNA 2500/4550</t>
  </si>
  <si>
    <t>9/TR</t>
  </si>
  <si>
    <t>22</t>
  </si>
  <si>
    <t>611VD</t>
  </si>
  <si>
    <t>sestava PROSKLENÁ STĚNA 2500/4550 pož odolné EI30-S200-C3-DP3</t>
  </si>
  <si>
    <t>94</t>
  </si>
  <si>
    <t>Lešení a stavební výtahy</t>
  </si>
  <si>
    <t>23</t>
  </si>
  <si>
    <t>941955001R00</t>
  </si>
  <si>
    <t>Lešení lehké pomocné, výška podlahy do 1,2 m</t>
  </si>
  <si>
    <t>94_</t>
  </si>
  <si>
    <t>_9_</t>
  </si>
  <si>
    <t>2*7</t>
  </si>
  <si>
    <t>dveře</t>
  </si>
  <si>
    <t>24</t>
  </si>
  <si>
    <t>941955003R00</t>
  </si>
  <si>
    <t>Lešení lehké pomocné, výška podlahy do 2,5 m</t>
  </si>
  <si>
    <t>2,5*4</t>
  </si>
  <si>
    <t>8/TR,9/TR</t>
  </si>
  <si>
    <t>25</t>
  </si>
  <si>
    <t>998011003R00</t>
  </si>
  <si>
    <t>Přesun hmot pro budovy zděné výšky do 24 m</t>
  </si>
  <si>
    <t>t</t>
  </si>
  <si>
    <t>96</t>
  </si>
  <si>
    <t>Bourání konstrukcí</t>
  </si>
  <si>
    <t>26</t>
  </si>
  <si>
    <t>968061125R00</t>
  </si>
  <si>
    <t>Vyvěšení dřevěných a plastových dveřních křídel pl. do 2 m2</t>
  </si>
  <si>
    <t>96_</t>
  </si>
  <si>
    <t>1. NP</t>
  </si>
  <si>
    <t>27</t>
  </si>
  <si>
    <t>968061126R00</t>
  </si>
  <si>
    <t>Vyvěšení dřevěných a plastových dveřních křídel pl. nad 2 m2</t>
  </si>
  <si>
    <t>6+1</t>
  </si>
  <si>
    <t>1,NP+3 NP</t>
  </si>
  <si>
    <t>28</t>
  </si>
  <si>
    <t>968062746R00</t>
  </si>
  <si>
    <t>Vybourání dřevěných stěn plochy do 4 m2</t>
  </si>
  <si>
    <t>1,45*2,1+1,9*2,1</t>
  </si>
  <si>
    <t>29</t>
  </si>
  <si>
    <t>968062747R00</t>
  </si>
  <si>
    <t>Vybourání dřevěných stěn plochy nad 4 m2</t>
  </si>
  <si>
    <t>2,5*4,55</t>
  </si>
  <si>
    <t>30</t>
  </si>
  <si>
    <t>968072456R00</t>
  </si>
  <si>
    <t>Vybourání kovových dveřních zárubní pl. nad 2 m2</t>
  </si>
  <si>
    <t>1,1*2,2+1,2*2,05+1,2*2,05+1*2,05+1,2*2,05</t>
  </si>
  <si>
    <t>1.NP</t>
  </si>
  <si>
    <t>0</t>
  </si>
  <si>
    <t>3.NP</t>
  </si>
  <si>
    <t>S</t>
  </si>
  <si>
    <t>Přesuny sutí</t>
  </si>
  <si>
    <t>31</t>
  </si>
  <si>
    <t>979011219R00</t>
  </si>
  <si>
    <t>Přípl.k svislé dopr.suti za každé další NP nošením</t>
  </si>
  <si>
    <t>S_</t>
  </si>
  <si>
    <t>0,04</t>
  </si>
  <si>
    <t>32</t>
  </si>
  <si>
    <t>979082111R00</t>
  </si>
  <si>
    <t>Vnitrostaveništní doprava suti do 10 m</t>
  </si>
  <si>
    <t>33</t>
  </si>
  <si>
    <t>979011211R00</t>
  </si>
  <si>
    <t>Svislá doprava suti a vybour. hmot za 2.NP nošením</t>
  </si>
  <si>
    <t>979082121R00</t>
  </si>
  <si>
    <t>Příplatek k vnitrost. dopravě suti za dalších 5 m</t>
  </si>
  <si>
    <t>1,05764</t>
  </si>
  <si>
    <t>0,02*(5+2)</t>
  </si>
  <si>
    <t>KŘÍDLA DVEŘÍ</t>
  </si>
  <si>
    <t>35</t>
  </si>
  <si>
    <t>979082318R00</t>
  </si>
  <si>
    <t>Vodorovná doprava suti a hmot po suchu do 6000 m</t>
  </si>
  <si>
    <t>1,19764*2</t>
  </si>
  <si>
    <t>Březinka</t>
  </si>
  <si>
    <t>36</t>
  </si>
  <si>
    <t>979990107R00</t>
  </si>
  <si>
    <t>Poplatek za uložení suti - směs betonu, cihel, dřeva, skupina odpadu 170904</t>
  </si>
  <si>
    <t>1,19764</t>
  </si>
  <si>
    <t>766</t>
  </si>
  <si>
    <t>Konstrukce truhlářské</t>
  </si>
  <si>
    <t>37</t>
  </si>
  <si>
    <t>766661132R00</t>
  </si>
  <si>
    <t>Montáž dveří do zárubně,otevíravých 2kř.do 1,45 m</t>
  </si>
  <si>
    <t>766_</t>
  </si>
  <si>
    <t>_76_</t>
  </si>
  <si>
    <t>38</t>
  </si>
  <si>
    <t>611656496</t>
  </si>
  <si>
    <t>Dveře protipožární EI30 plné 2-křídlé 1250 x 1970 mm RAL lak</t>
  </si>
  <si>
    <t>5/TR, SAMOZAVÍRAČ</t>
  </si>
  <si>
    <t>39</t>
  </si>
  <si>
    <t>998766103R00</t>
  </si>
  <si>
    <t>Přesun hmot pro truhlářské konstr., výšky do 24 m</t>
  </si>
  <si>
    <t>0,042</t>
  </si>
  <si>
    <t>784</t>
  </si>
  <si>
    <t>Malby</t>
  </si>
  <si>
    <t>40</t>
  </si>
  <si>
    <t>784121201R00</t>
  </si>
  <si>
    <t>Penetrace podkladu barvou JUB, Bio vápenná, 1 x</t>
  </si>
  <si>
    <t>784_</t>
  </si>
  <si>
    <t>_78_</t>
  </si>
  <si>
    <t>18*4</t>
  </si>
  <si>
    <t>41</t>
  </si>
  <si>
    <t>784122112R00</t>
  </si>
  <si>
    <t>Malba vápenná JUB, Bio, bílá, bez penetrace, 2 x</t>
  </si>
  <si>
    <t>72</t>
  </si>
  <si>
    <t>42</t>
  </si>
  <si>
    <t>784127101R00</t>
  </si>
  <si>
    <t>Vyhlazení disperzním tmelem JUB, Jubolin, 1 x</t>
  </si>
  <si>
    <t>43</t>
  </si>
  <si>
    <t>784115712R00</t>
  </si>
  <si>
    <t>Malba Remal sádrokarton, bílá, bez penetrace, 2 x</t>
  </si>
  <si>
    <t>(1,92+0,72)*1,5</t>
  </si>
  <si>
    <t>44</t>
  </si>
  <si>
    <t>784111701R00</t>
  </si>
  <si>
    <t>Penetrace podkladu nátěrem Remal sádrokarton 1x</t>
  </si>
  <si>
    <t>M240VD</t>
  </si>
  <si>
    <t>Vzduchotechnika</t>
  </si>
  <si>
    <t>45</t>
  </si>
  <si>
    <t>240111001VD</t>
  </si>
  <si>
    <t>Vzduchotechnická zařízení</t>
  </si>
  <si>
    <t>soubor</t>
  </si>
  <si>
    <t>M240VD_</t>
  </si>
  <si>
    <t>0,00001</t>
  </si>
  <si>
    <t>M650VD</t>
  </si>
  <si>
    <t>Elektroinstamace</t>
  </si>
  <si>
    <t>46</t>
  </si>
  <si>
    <t>650013001VD</t>
  </si>
  <si>
    <t>Elektroinstalace, včetně dílčí revize</t>
  </si>
  <si>
    <t>M650VD_</t>
  </si>
  <si>
    <t xml:space="preserve">Rozpočet včetně montáže a zapojení </t>
  </si>
  <si>
    <t>08/2024</t>
  </si>
  <si>
    <t>NEMOCNICE LETOVICE - ÚPRAVA CHUC 4np</t>
  </si>
  <si>
    <t>ELEKTROINSTALACE</t>
  </si>
  <si>
    <t>Dokumentace pro provedení stavby DPS</t>
  </si>
  <si>
    <t>NÁZEV</t>
  </si>
  <si>
    <t>POČET</t>
  </si>
  <si>
    <t>JC</t>
  </si>
  <si>
    <t>CELKEM</t>
  </si>
  <si>
    <t>ROZVADĚČE VČETNĚ MONTÁŽE A ZAPOJENÍ</t>
  </si>
  <si>
    <t>ÚPRAVA A DOPLNĚNÍ ROZVADĚČE RPO dle výkresové dokumentace</t>
  </si>
  <si>
    <t>ks</t>
  </si>
  <si>
    <t>ÚPRAVA A DOPLNĚNÍ ROZVADĚČE RMS2 OSAZENÍ JISTIČE B/1-10A</t>
  </si>
  <si>
    <t>MEZISOUČET</t>
  </si>
  <si>
    <t>INSTALAČNÍ MATERIÁL, LIŠTY, ŽLABY, KRABICE VČETNĚ MONTÁŽE, OSAZENÍ, ZAPRAVENÍ A ZAPOJENÍ</t>
  </si>
  <si>
    <t>KRABICE ODBOČNÁ S BEZŠROUBOVÝMI SVORKAMI MALÁ ZAPUŠTĚNÁ</t>
  </si>
  <si>
    <t>TRUBKA KOVOVÁ S POŽÁRNÍ ODOLNOSTÍ 1hod 36mm</t>
  </si>
  <si>
    <t>m</t>
  </si>
  <si>
    <t>ZATAHOVACÍ VODIČ</t>
  </si>
  <si>
    <t>KABELY VČETNĚ MONTÁŽE, ZAPOJENÍ, ULOŽENÍ</t>
  </si>
  <si>
    <t xml:space="preserve">KABEL CYKY 3Cx1,5mm </t>
  </si>
  <si>
    <t xml:space="preserve">VODIČ CYY 6mm </t>
  </si>
  <si>
    <t>KABEL 1-CXKH-V 5Cx2,5mm B2s1d0</t>
  </si>
  <si>
    <t>KABEL 1-CXKH-V 3Cx2,5mm B2s1d0</t>
  </si>
  <si>
    <t>STAVEBNÍ PRÁCE VČETNĚ ZAPRAVENÍ A MALBY</t>
  </si>
  <si>
    <t>PRŮRAZ DO 50mm</t>
  </si>
  <si>
    <t>DRÁŽKA VE ZDIVU š.25mm</t>
  </si>
  <si>
    <t xml:space="preserve">OSTATNÍ </t>
  </si>
  <si>
    <t>DOPLNĚNÍ STÁVAJÍCÍ JÍMACÍ SOUSTAVY O JÍMACÍ TYČ PRO OCHRANU VÝUSTKŮ VZT</t>
  </si>
  <si>
    <t>kpl</t>
  </si>
  <si>
    <t>POMOCNÝ INSTALAČNÍ MATERIÁL</t>
  </si>
  <si>
    <t>KOORDINACE PROFESÍ PŘI STAVBĚ</t>
  </si>
  <si>
    <t>hod</t>
  </si>
  <si>
    <t>ZAPOJENÍ VÝVODŮ PRO TECHNOLOGIE A PROFESE</t>
  </si>
  <si>
    <t>REVIZE</t>
  </si>
  <si>
    <t>CELKEM ELEKTROINSTALACE</t>
  </si>
  <si>
    <t>Poz. číslo</t>
  </si>
  <si>
    <t>Název</t>
  </si>
  <si>
    <t>Měrná jednotka</t>
  </si>
  <si>
    <t xml:space="preserve">Počet </t>
  </si>
  <si>
    <t>Cena dodávky jednotková</t>
  </si>
  <si>
    <t>Montáž%</t>
  </si>
  <si>
    <t>Cena montáže jednotková</t>
  </si>
  <si>
    <t>Cena dodávky celkem</t>
  </si>
  <si>
    <t>Cena montáže celkem</t>
  </si>
  <si>
    <t xml:space="preserve">V nabídce musí být zahrnuty náklady na vlastní montáž, odvoz, skládkovné, veškeré přesuny materiálu, protiprašná opatření, trvalý úklid všech prostor dotčených stavbou, opatření BOZP a to zejména zabezpečení všech stavebních prostupů proti propadnutí. Před zahájením dodávky a montáže je nutné se přesvědčit, jestli stav objektu odpovídá PD. Bez provedení kontroly není možné držet záruky za škody vzniklé vynecháním kontroly. </t>
  </si>
  <si>
    <t xml:space="preserve">
pro úplnou nabídku je nutno respektovat technické specifikace a výkresovou dokumentaci vč.technické zprávy</t>
  </si>
  <si>
    <t>Zař.č.20,20A - CHUC B</t>
  </si>
  <si>
    <t>20.1</t>
  </si>
  <si>
    <t xml:space="preserve">Přívodní potrubní radiální ventilátor
 Vp = 710m3/h 230V 50 Hz p = 120 Pa
</t>
  </si>
  <si>
    <t>20.10</t>
  </si>
  <si>
    <t xml:space="preserve">nasávací hlavice VHL lamelová DN200 , PZ
se sítem proti ptákům a drobným hlodavcům 
</t>
  </si>
  <si>
    <t>20.20</t>
  </si>
  <si>
    <t>Uzavírací klapka těsná DN200- do venkovního prostředí
po obvodu pryžovým těsněním 
teplotní odolnost -30+50°C
 vč servo pohonu 230V  50Hz se signal.polohy - ochrana servo  vč. Krytu pohonu  proti povětrnoostním vlivům</t>
  </si>
  <si>
    <t>20.40</t>
  </si>
  <si>
    <t xml:space="preserve">přívodní výustka VK 1.0 R 325x225 na nástavci
provedení dle architekta-předložit vzorník ke schválení
</t>
  </si>
  <si>
    <t>20A.10</t>
  </si>
  <si>
    <t>Výfukový kus 500x200&lt;45 s vletovanou protidešťovou žaluzií</t>
  </si>
  <si>
    <t>20A.11</t>
  </si>
  <si>
    <t>ochranná mřížka 500x200</t>
  </si>
  <si>
    <t>20A.20</t>
  </si>
  <si>
    <t xml:space="preserve">Uzavírací klapka těsná 500x200
po obvodu pryžovým těsněním 
vč servo pohon 230V  50Hz 
</t>
  </si>
  <si>
    <t>20,20A.70</t>
  </si>
  <si>
    <t>Potrubí čtyřhranné sk.I - pozink. plech, tř.těsnosti C, 
rovné a tvarové potrubní díly - 40% - pro CHUC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</si>
  <si>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</si>
  <si>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20.80</t>
  </si>
  <si>
    <t>Potrubí kruhové do DN 200, tř.těsnosti min.C, vč.tvarovek a příslušenství</t>
  </si>
  <si>
    <t>bm</t>
  </si>
  <si>
    <t>20.85</t>
  </si>
  <si>
    <t>Spojovací a těsnící materiál , podpěry, závěsy, konzoly, drobný materiál dle potřeby vzt 
ztížená montáž na střeše</t>
  </si>
  <si>
    <t xml:space="preserve">IZOLACE, NÁTĚRY, </t>
  </si>
  <si>
    <t>Izolace tepelné a protihlukové</t>
  </si>
  <si>
    <t xml:space="preserve">TL.40mm </t>
  </si>
  <si>
    <t>oplechování nad střechou</t>
  </si>
  <si>
    <t>Izolace protipožární 30DPI, v oboustranném provedení</t>
  </si>
  <si>
    <t>Nátěry potrubí a vzt elementů-dle pokynů</t>
  </si>
  <si>
    <t>podpěrných konstrukcí</t>
  </si>
  <si>
    <t>1x základní, 3x vrchní</t>
  </si>
  <si>
    <t>REKAPITULACE NÁKLADŮ</t>
  </si>
  <si>
    <t>-</t>
  </si>
  <si>
    <t>PROJEKT</t>
  </si>
  <si>
    <t>Náklady na dopravu</t>
  </si>
  <si>
    <t>ZÁKLADNÍ ROZPOČTOVÉ NÁKLADY</t>
  </si>
  <si>
    <t>Komplexní vyzkoušení a zaregulování</t>
  </si>
  <si>
    <t>kč</t>
  </si>
  <si>
    <t>Zaškolení obsluhy</t>
  </si>
  <si>
    <t xml:space="preserve">dokumentace výrobní před zahájením prací </t>
  </si>
  <si>
    <t>skutečné provedení</t>
  </si>
  <si>
    <t>ekologická likvidace a závěrečný úklid</t>
  </si>
  <si>
    <t>denní úklid na staveništi a ochranné folie vzt zařízení-ochrana proti prachu</t>
  </si>
  <si>
    <t>značení potrubí dle platných ČSN</t>
  </si>
  <si>
    <t>Dokladová část ( protokoly, atesty, zkoušky, doklady o ekeologické likvidaci při demontážích)</t>
  </si>
  <si>
    <t>návrh provozního předpisu</t>
  </si>
  <si>
    <t xml:space="preserve"> plošina-ztížená montáž na střeše</t>
  </si>
  <si>
    <t>DOPLŇKOVÉ ROZPOČTOVÉ NÁKLADY</t>
  </si>
  <si>
    <t xml:space="preserve">C E L K E M 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</si>
</sst>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164" formatCode="#,##0.00\ _K_č"/>
    <numFmt numFmtId="165" formatCode="000\ 00"/>
    <numFmt numFmtId="166" formatCode="0.0%"/>
    <numFmt numFmtId="167" formatCode="#,##0\ _K_č"/>
    <numFmt numFmtId="168" formatCode="#,##0\ &quot;Kč&quot;"/>
  </numFmts>
  <fonts count="33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i/>
      <sz val="10"/>
      <color rgb="FF000000"/>
      <name val="Arial"/>
      <charset val="238"/>
    </font>
    <font>
      <sz val="11"/>
      <name val="Calibri"/>
      <charset val="1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10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344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0" fontId="2" fillId="0" borderId="57" xfId="0" applyNumberFormat="1" applyFont="1" applyFill="1" applyBorder="1" applyAlignment="1" applyProtection="1">
      <alignment horizontal="left" vertical="center"/>
    </xf>
    <xf numFmtId="0" fontId="2" fillId="0" borderId="58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center" vertical="center"/>
    </xf>
    <xf numFmtId="0" fontId="3" fillId="0" borderId="61" xfId="0" applyNumberFormat="1" applyFont="1" applyFill="1" applyBorder="1" applyAlignment="1" applyProtection="1">
      <alignment horizontal="left" vertical="center"/>
    </xf>
    <xf numFmtId="0" fontId="3" fillId="0" borderId="62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center" vertical="center"/>
    </xf>
    <xf numFmtId="0" fontId="3" fillId="0" borderId="26" xfId="0" applyNumberFormat="1" applyFont="1" applyFill="1" applyBorder="1" applyAlignment="1" applyProtection="1">
      <alignment horizontal="center" vertical="center"/>
    </xf>
    <xf numFmtId="0" fontId="3" fillId="0" borderId="66" xfId="0" applyNumberFormat="1" applyFont="1" applyFill="1" applyBorder="1" applyAlignment="1" applyProtection="1">
      <alignment horizontal="center" vertical="center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2" fillId="0" borderId="68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left" vertical="center"/>
    </xf>
    <xf numFmtId="4" fontId="2" fillId="0" borderId="40" xfId="0" applyNumberFormat="1" applyFont="1" applyFill="1" applyBorder="1" applyAlignment="1" applyProtection="1">
      <alignment horizontal="right" vertical="center"/>
    </xf>
    <xf numFmtId="4" fontId="2" fillId="0" borderId="69" xfId="0" applyNumberFormat="1" applyFont="1" applyFill="1" applyBorder="1" applyAlignment="1" applyProtection="1">
      <alignment horizontal="right" vertical="center"/>
    </xf>
    <xf numFmtId="0" fontId="2" fillId="0" borderId="7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" fontId="3" fillId="0" borderId="71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center" vertical="center"/>
    </xf>
    <xf numFmtId="0" fontId="3" fillId="0" borderId="74" xfId="0" applyNumberFormat="1" applyFont="1" applyFill="1" applyBorder="1" applyAlignment="1" applyProtection="1">
      <alignment horizontal="center" vertical="center"/>
    </xf>
    <xf numFmtId="0" fontId="3" fillId="0" borderId="75" xfId="0" applyNumberFormat="1" applyFont="1" applyFill="1" applyBorder="1" applyAlignment="1" applyProtection="1">
      <alignment horizontal="center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2" fillId="0" borderId="62" xfId="0" applyNumberFormat="1" applyFont="1" applyFill="1" applyBorder="1" applyAlignment="1" applyProtection="1">
      <alignment horizontal="left" vertical="center"/>
    </xf>
    <xf numFmtId="0" fontId="3" fillId="0" borderId="80" xfId="0" applyNumberFormat="1" applyFont="1" applyFill="1" applyBorder="1" applyAlignment="1" applyProtection="1">
      <alignment horizontal="center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3" fillId="0" borderId="82" xfId="0" applyNumberFormat="1" applyFont="1" applyFill="1" applyBorder="1" applyAlignment="1" applyProtection="1">
      <alignment horizontal="center" vertical="center"/>
    </xf>
    <xf numFmtId="0" fontId="3" fillId="0" borderId="83" xfId="0" applyNumberFormat="1" applyFont="1" applyFill="1" applyBorder="1" applyAlignment="1" applyProtection="1">
      <alignment horizontal="center" vertical="center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2" fillId="2" borderId="68" xfId="0" applyNumberFormat="1" applyFont="1" applyFill="1" applyBorder="1" applyAlignment="1" applyProtection="1">
      <alignment horizontal="left" vertical="center"/>
    </xf>
    <xf numFmtId="0" fontId="3" fillId="2" borderId="40" xfId="0" applyNumberFormat="1" applyFont="1" applyFill="1" applyBorder="1" applyAlignment="1" applyProtection="1">
      <alignment horizontal="left" vertical="center"/>
    </xf>
    <xf numFmtId="0" fontId="2" fillId="2" borderId="40" xfId="0" applyNumberFormat="1" applyFont="1" applyFill="1" applyBorder="1" applyAlignment="1" applyProtection="1">
      <alignment horizontal="left" vertical="center"/>
    </xf>
    <xf numFmtId="4" fontId="3" fillId="2" borderId="40" xfId="0" applyNumberFormat="1" applyFont="1" applyFill="1" applyBorder="1" applyAlignment="1" applyProtection="1">
      <alignment horizontal="right" vertical="center"/>
    </xf>
    <xf numFmtId="0" fontId="3" fillId="2" borderId="40" xfId="0" applyNumberFormat="1" applyFont="1" applyFill="1" applyBorder="1" applyAlignment="1" applyProtection="1">
      <alignment horizontal="right" vertical="center"/>
    </xf>
    <xf numFmtId="0" fontId="3" fillId="2" borderId="69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0" fillId="0" borderId="7" xfId="0" applyNumberFormat="1" applyFont="1" applyFill="1" applyBorder="1" applyAlignment="1" applyProtection="1"/>
    <xf numFmtId="0" fontId="0" fillId="0" borderId="8" xfId="0" applyNumberFormat="1" applyFont="1" applyFill="1" applyBorder="1" applyAlignment="1" applyProtection="1"/>
    <xf numFmtId="0" fontId="10" fillId="0" borderId="8" xfId="0" applyNumberFormat="1" applyFont="1" applyFill="1" applyBorder="1" applyAlignment="1" applyProtection="1">
      <alignment horizontal="left" vertical="center"/>
    </xf>
    <xf numFmtId="4" fontId="10" fillId="0" borderId="8" xfId="0" applyNumberFormat="1" applyFont="1" applyFill="1" applyBorder="1" applyAlignment="1" applyProtection="1">
      <alignment horizontal="right" vertical="center"/>
    </xf>
    <xf numFmtId="0" fontId="0" fillId="0" borderId="9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0" borderId="56" xfId="0" applyNumberFormat="1" applyFont="1" applyFill="1" applyBorder="1" applyAlignment="1" applyProtection="1">
      <alignment horizontal="left" vertical="center"/>
    </xf>
    <xf numFmtId="0" fontId="2" fillId="0" borderId="59" xfId="0" applyNumberFormat="1" applyFont="1" applyFill="1" applyBorder="1" applyAlignment="1" applyProtection="1">
      <alignment horizontal="left" vertical="center"/>
    </xf>
    <xf numFmtId="0" fontId="2" fillId="0" borderId="30" xfId="0" applyNumberFormat="1" applyFont="1" applyFill="1" applyBorder="1" applyAlignment="1" applyProtection="1">
      <alignment horizontal="left" vertical="center"/>
    </xf>
    <xf numFmtId="0" fontId="2" fillId="0" borderId="60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64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center" vertical="center"/>
    </xf>
    <xf numFmtId="0" fontId="3" fillId="0" borderId="43" xfId="0" applyNumberFormat="1" applyFont="1" applyFill="1" applyBorder="1" applyAlignment="1" applyProtection="1">
      <alignment horizontal="center" vertical="center"/>
    </xf>
    <xf numFmtId="0" fontId="3" fillId="0" borderId="44" xfId="0" applyNumberFormat="1" applyFont="1" applyFill="1" applyBorder="1" applyAlignment="1" applyProtection="1">
      <alignment horizontal="center" vertical="center"/>
    </xf>
    <xf numFmtId="0" fontId="2" fillId="0" borderId="40" xfId="0" applyNumberFormat="1" applyFont="1" applyFill="1" applyBorder="1" applyAlignment="1" applyProtection="1">
      <alignment horizontal="left" vertical="center"/>
    </xf>
    <xf numFmtId="0" fontId="3" fillId="0" borderId="71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9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center" vertical="center"/>
    </xf>
    <xf numFmtId="0" fontId="3" fillId="0" borderId="77" xfId="0" applyNumberFormat="1" applyFont="1" applyFill="1" applyBorder="1" applyAlignment="1" applyProtection="1">
      <alignment horizontal="center" vertical="center"/>
    </xf>
    <xf numFmtId="0" fontId="3" fillId="2" borderId="40" xfId="0" applyNumberFormat="1" applyFont="1" applyFill="1" applyBorder="1" applyAlignment="1" applyProtection="1">
      <alignment horizontal="left" vertical="center" wrapText="1"/>
    </xf>
    <xf numFmtId="0" fontId="3" fillId="2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2" fillId="0" borderId="84" xfId="0" applyNumberFormat="1" applyFont="1" applyFill="1" applyBorder="1" applyAlignment="1" applyProtection="1">
      <alignment horizontal="left"/>
      <protection locked="0"/>
    </xf>
    <xf numFmtId="0" fontId="12" fillId="0" borderId="85" xfId="0" applyNumberFormat="1" applyFont="1" applyFill="1" applyBorder="1" applyAlignment="1" applyProtection="1">
      <alignment horizontal="left"/>
      <protection locked="0"/>
    </xf>
    <xf numFmtId="0" fontId="12" fillId="0" borderId="86" xfId="0" applyNumberFormat="1" applyFont="1" applyFill="1" applyBorder="1" applyAlignment="1" applyProtection="1">
      <alignment horizontal="left"/>
      <protection locked="0"/>
    </xf>
    <xf numFmtId="49" fontId="12" fillId="0" borderId="87" xfId="0" applyNumberFormat="1" applyFont="1" applyFill="1" applyBorder="1" applyAlignment="1" applyProtection="1">
      <alignment horizontal="center"/>
      <protection locked="0"/>
    </xf>
    <xf numFmtId="0" fontId="13" fillId="0" borderId="71" xfId="0" applyFont="1" applyBorder="1"/>
    <xf numFmtId="0" fontId="14" fillId="0" borderId="84" xfId="0" applyFont="1" applyBorder="1" applyAlignment="1" applyProtection="1">
      <alignment horizontal="center" vertical="center"/>
      <protection locked="0"/>
    </xf>
    <xf numFmtId="0" fontId="14" fillId="0" borderId="87" xfId="0" applyFont="1" applyBorder="1" applyAlignment="1" applyProtection="1">
      <alignment horizontal="center" vertical="center" wrapText="1"/>
      <protection locked="0"/>
    </xf>
    <xf numFmtId="0" fontId="15" fillId="0" borderId="87" xfId="0" applyFont="1" applyBorder="1" applyAlignment="1" applyProtection="1">
      <alignment horizontal="center" vertical="center"/>
      <protection locked="0"/>
    </xf>
    <xf numFmtId="0" fontId="14" fillId="0" borderId="84" xfId="0" applyFont="1" applyBorder="1" applyAlignment="1">
      <alignment horizontal="center" vertical="center"/>
    </xf>
    <xf numFmtId="0" fontId="14" fillId="0" borderId="87" xfId="0" applyFont="1" applyBorder="1" applyAlignment="1">
      <alignment horizontal="center" vertical="center"/>
    </xf>
    <xf numFmtId="0" fontId="16" fillId="0" borderId="84" xfId="0" applyFont="1" applyBorder="1" applyAlignment="1" applyProtection="1">
      <alignment horizontal="left" vertical="center" wrapText="1"/>
      <protection locked="0"/>
    </xf>
    <xf numFmtId="0" fontId="16" fillId="0" borderId="85" xfId="0" applyFont="1" applyBorder="1" applyAlignment="1" applyProtection="1">
      <alignment horizontal="left" vertical="center" wrapText="1"/>
      <protection locked="0"/>
    </xf>
    <xf numFmtId="0" fontId="16" fillId="0" borderId="86" xfId="0" applyFont="1" applyBorder="1" applyAlignment="1" applyProtection="1">
      <alignment horizontal="left" vertical="center" wrapText="1"/>
      <protection locked="0"/>
    </xf>
    <xf numFmtId="0" fontId="13" fillId="0" borderId="71" xfId="0" applyFont="1" applyFill="1" applyBorder="1"/>
    <xf numFmtId="0" fontId="13" fillId="0" borderId="87" xfId="0" applyFont="1" applyFill="1" applyBorder="1" applyAlignment="1">
      <alignment horizontal="center" vertical="center"/>
    </xf>
    <xf numFmtId="0" fontId="13" fillId="0" borderId="88" xfId="0" applyFont="1" applyFill="1" applyBorder="1" applyAlignment="1">
      <alignment vertical="center" wrapText="1"/>
    </xf>
    <xf numFmtId="0" fontId="13" fillId="0" borderId="89" xfId="0" applyFont="1" applyFill="1" applyBorder="1" applyAlignment="1" applyProtection="1">
      <alignment horizontal="center"/>
      <protection locked="0"/>
    </xf>
    <xf numFmtId="44" fontId="13" fillId="0" borderId="90" xfId="1" applyFont="1" applyFill="1" applyBorder="1" applyAlignment="1">
      <alignment horizontal="right"/>
    </xf>
    <xf numFmtId="0" fontId="13" fillId="0" borderId="87" xfId="0" applyFont="1" applyBorder="1"/>
    <xf numFmtId="0" fontId="18" fillId="0" borderId="91" xfId="0" applyFont="1" applyFill="1" applyBorder="1" applyAlignment="1">
      <alignment horizontal="left" vertical="center" wrapText="1"/>
    </xf>
    <xf numFmtId="0" fontId="18" fillId="0" borderId="92" xfId="0" applyFont="1" applyFill="1" applyBorder="1" applyAlignment="1">
      <alignment horizontal="left" vertical="center" wrapText="1"/>
    </xf>
    <xf numFmtId="0" fontId="18" fillId="0" borderId="93" xfId="0" applyFont="1" applyFill="1" applyBorder="1" applyAlignment="1">
      <alignment horizontal="left" vertical="center" wrapText="1"/>
    </xf>
    <xf numFmtId="44" fontId="18" fillId="0" borderId="94" xfId="1" applyFont="1" applyFill="1" applyBorder="1" applyAlignment="1">
      <alignment horizontal="right" vertical="center"/>
    </xf>
    <xf numFmtId="0" fontId="13" fillId="0" borderId="84" xfId="0" applyFont="1" applyBorder="1" applyAlignment="1">
      <alignment horizontal="center"/>
    </xf>
    <xf numFmtId="0" fontId="13" fillId="0" borderId="85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0" fontId="16" fillId="0" borderId="84" xfId="0" applyFont="1" applyFill="1" applyBorder="1" applyAlignment="1" applyProtection="1">
      <alignment horizontal="left" vertical="center" wrapText="1"/>
      <protection locked="0"/>
    </xf>
    <xf numFmtId="0" fontId="16" fillId="0" borderId="85" xfId="0" applyFont="1" applyFill="1" applyBorder="1" applyAlignment="1" applyProtection="1">
      <alignment horizontal="left" vertical="center" wrapText="1"/>
      <protection locked="0"/>
    </xf>
    <xf numFmtId="0" fontId="16" fillId="0" borderId="86" xfId="0" applyFont="1" applyFill="1" applyBorder="1" applyAlignment="1" applyProtection="1">
      <alignment horizontal="left" vertical="center" wrapText="1"/>
      <protection locked="0"/>
    </xf>
    <xf numFmtId="0" fontId="13" fillId="0" borderId="95" xfId="0" applyFont="1" applyFill="1" applyBorder="1" applyAlignment="1" applyProtection="1">
      <alignment vertical="center" wrapText="1"/>
      <protection locked="0"/>
    </xf>
    <xf numFmtId="0" fontId="13" fillId="0" borderId="96" xfId="0" applyFont="1" applyFill="1" applyBorder="1" applyAlignment="1" applyProtection="1">
      <alignment horizontal="center" vertical="center"/>
      <protection locked="0"/>
    </xf>
    <xf numFmtId="0" fontId="13" fillId="0" borderId="97" xfId="0" applyFont="1" applyFill="1" applyBorder="1" applyAlignment="1" applyProtection="1">
      <alignment horizontal="center" vertical="center"/>
      <protection locked="0"/>
    </xf>
    <xf numFmtId="44" fontId="13" fillId="0" borderId="98" xfId="1" applyFont="1" applyFill="1" applyBorder="1" applyAlignment="1">
      <alignment vertical="center"/>
    </xf>
    <xf numFmtId="44" fontId="13" fillId="0" borderId="99" xfId="1" applyFont="1" applyFill="1" applyBorder="1" applyAlignment="1">
      <alignment vertical="center"/>
    </xf>
    <xf numFmtId="0" fontId="13" fillId="0" borderId="84" xfId="0" applyFont="1" applyBorder="1" applyAlignment="1" applyProtection="1">
      <alignment horizontal="center" vertical="center" wrapText="1"/>
      <protection locked="0"/>
    </xf>
    <xf numFmtId="0" fontId="13" fillId="0" borderId="85" xfId="0" applyFont="1" applyBorder="1" applyAlignment="1" applyProtection="1">
      <alignment horizontal="center" vertical="center" wrapText="1"/>
      <protection locked="0"/>
    </xf>
    <xf numFmtId="0" fontId="13" fillId="0" borderId="86" xfId="0" applyFont="1" applyBorder="1" applyAlignment="1" applyProtection="1">
      <alignment horizontal="center" vertical="center" wrapText="1"/>
      <protection locked="0"/>
    </xf>
    <xf numFmtId="0" fontId="13" fillId="0" borderId="95" xfId="0" applyFont="1" applyFill="1" applyBorder="1" applyAlignment="1">
      <alignment vertical="center" wrapText="1"/>
    </xf>
    <xf numFmtId="0" fontId="13" fillId="0" borderId="89" xfId="0" applyFont="1" applyFill="1" applyBorder="1" applyAlignment="1">
      <alignment horizontal="center" vertical="center"/>
    </xf>
    <xf numFmtId="0" fontId="13" fillId="0" borderId="100" xfId="0" applyFont="1" applyFill="1" applyBorder="1" applyAlignment="1">
      <alignment horizontal="center" vertical="center"/>
    </xf>
    <xf numFmtId="44" fontId="13" fillId="0" borderId="90" xfId="1" applyFont="1" applyFill="1" applyBorder="1" applyAlignment="1">
      <alignment horizontal="center" vertical="center"/>
    </xf>
    <xf numFmtId="0" fontId="13" fillId="0" borderId="84" xfId="0" applyFont="1" applyFill="1" applyBorder="1" applyAlignment="1">
      <alignment horizontal="center"/>
    </xf>
    <xf numFmtId="0" fontId="13" fillId="0" borderId="85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0" fontId="13" fillId="0" borderId="96" xfId="0" applyFont="1" applyFill="1" applyBorder="1" applyAlignment="1" applyProtection="1">
      <alignment horizontal="centerContinuous" vertical="center"/>
      <protection locked="0"/>
    </xf>
    <xf numFmtId="44" fontId="13" fillId="0" borderId="98" xfId="1" applyFont="1" applyFill="1" applyBorder="1" applyAlignment="1">
      <alignment horizontal="right" vertical="center"/>
    </xf>
    <xf numFmtId="0" fontId="13" fillId="0" borderId="97" xfId="0" applyFont="1" applyBorder="1" applyAlignment="1" applyProtection="1">
      <alignment horizontal="center" vertical="center"/>
      <protection locked="0"/>
    </xf>
    <xf numFmtId="44" fontId="13" fillId="0" borderId="98" xfId="1" applyFont="1" applyFill="1" applyBorder="1" applyAlignment="1">
      <alignment horizontal="center" vertical="center"/>
    </xf>
    <xf numFmtId="44" fontId="16" fillId="0" borderId="101" xfId="0" applyNumberFormat="1" applyFont="1" applyBorder="1" applyAlignment="1" applyProtection="1">
      <alignment vertical="center" wrapText="1"/>
      <protection locked="0"/>
    </xf>
    <xf numFmtId="0" fontId="19" fillId="0" borderId="71" xfId="0" applyFont="1" applyBorder="1"/>
    <xf numFmtId="0" fontId="19" fillId="0" borderId="71" xfId="0" applyFont="1" applyFill="1" applyBorder="1"/>
    <xf numFmtId="0" fontId="20" fillId="0" borderId="71" xfId="0" applyFont="1" applyBorder="1"/>
    <xf numFmtId="44" fontId="13" fillId="3" borderId="89" xfId="1" applyFont="1" applyFill="1" applyBorder="1" applyAlignment="1" applyProtection="1">
      <alignment horizontal="right"/>
      <protection locked="0"/>
    </xf>
    <xf numFmtId="44" fontId="13" fillId="3" borderId="96" xfId="1" applyFont="1" applyFill="1" applyBorder="1" applyAlignment="1" applyProtection="1">
      <alignment vertical="center"/>
      <protection locked="0"/>
    </xf>
    <xf numFmtId="44" fontId="13" fillId="3" borderId="89" xfId="1" applyFont="1" applyFill="1" applyBorder="1" applyAlignment="1" applyProtection="1">
      <alignment horizontal="center" vertical="center"/>
      <protection locked="0"/>
    </xf>
    <xf numFmtId="44" fontId="13" fillId="3" borderId="96" xfId="1" applyFont="1" applyFill="1" applyBorder="1" applyAlignment="1" applyProtection="1">
      <alignment horizontal="center" vertical="center"/>
      <protection locked="0"/>
    </xf>
    <xf numFmtId="49" fontId="0" fillId="0" borderId="71" xfId="0" applyNumberFormat="1" applyBorder="1"/>
    <xf numFmtId="49" fontId="0" fillId="0" borderId="71" xfId="0" applyNumberFormat="1" applyBorder="1" applyAlignment="1"/>
    <xf numFmtId="0" fontId="0" fillId="0" borderId="71" xfId="0" applyBorder="1"/>
    <xf numFmtId="49" fontId="21" fillId="0" borderId="102" xfId="0" applyNumberFormat="1" applyFont="1" applyFill="1" applyBorder="1" applyAlignment="1"/>
    <xf numFmtId="49" fontId="0" fillId="0" borderId="102" xfId="0" applyNumberFormat="1" applyFill="1" applyBorder="1" applyAlignment="1">
      <alignment horizontal="centerContinuous"/>
    </xf>
    <xf numFmtId="164" fontId="0" fillId="0" borderId="102" xfId="0" applyNumberFormat="1" applyFill="1" applyBorder="1" applyAlignment="1"/>
    <xf numFmtId="164" fontId="0" fillId="0" borderId="71" xfId="0" applyNumberFormat="1" applyFill="1" applyBorder="1"/>
    <xf numFmtId="49" fontId="22" fillId="0" borderId="103" xfId="0" applyNumberFormat="1" applyFont="1" applyBorder="1" applyAlignment="1">
      <alignment horizontal="center" vertical="center" wrapText="1"/>
    </xf>
    <xf numFmtId="49" fontId="22" fillId="0" borderId="103" xfId="0" applyNumberFormat="1" applyFont="1" applyBorder="1" applyAlignment="1">
      <alignment horizontal="left" vertical="center" wrapText="1"/>
    </xf>
    <xf numFmtId="0" fontId="22" fillId="0" borderId="103" xfId="0" applyFont="1" applyBorder="1" applyAlignment="1">
      <alignment horizontal="center" vertical="center" wrapText="1"/>
    </xf>
    <xf numFmtId="164" fontId="22" fillId="0" borderId="103" xfId="0" applyNumberFormat="1" applyFont="1" applyBorder="1" applyAlignment="1">
      <alignment vertical="center" wrapText="1"/>
    </xf>
    <xf numFmtId="164" fontId="22" fillId="0" borderId="103" xfId="0" applyNumberFormat="1" applyFont="1" applyBorder="1" applyAlignment="1">
      <alignment horizontal="center" vertical="center" wrapText="1"/>
    </xf>
    <xf numFmtId="49" fontId="22" fillId="0" borderId="104" xfId="0" applyNumberFormat="1" applyFont="1" applyBorder="1" applyAlignment="1">
      <alignment horizontal="center" vertical="center" wrapText="1"/>
    </xf>
    <xf numFmtId="0" fontId="0" fillId="0" borderId="104" xfId="0" applyBorder="1" applyAlignment="1"/>
    <xf numFmtId="0" fontId="0" fillId="0" borderId="104" xfId="0" applyBorder="1" applyAlignment="1">
      <alignment horizontal="center"/>
    </xf>
    <xf numFmtId="0" fontId="0" fillId="0" borderId="104" xfId="0" applyBorder="1" applyAlignment="1">
      <alignment vertical="center" wrapText="1"/>
    </xf>
    <xf numFmtId="0" fontId="0" fillId="0" borderId="71" xfId="0" applyBorder="1" applyAlignment="1">
      <alignment horizontal="center"/>
    </xf>
    <xf numFmtId="0" fontId="0" fillId="0" borderId="71" xfId="0" applyBorder="1" applyAlignment="1"/>
    <xf numFmtId="164" fontId="22" fillId="0" borderId="71" xfId="0" applyNumberFormat="1" applyFont="1" applyBorder="1" applyAlignment="1">
      <alignment vertical="top"/>
    </xf>
    <xf numFmtId="164" fontId="22" fillId="0" borderId="71" xfId="0" applyNumberFormat="1" applyFont="1" applyBorder="1" applyAlignment="1">
      <alignment horizontal="center" vertical="top"/>
    </xf>
    <xf numFmtId="164" fontId="22" fillId="0" borderId="71" xfId="0" applyNumberFormat="1" applyFont="1" applyBorder="1" applyAlignment="1"/>
    <xf numFmtId="165" fontId="22" fillId="0" borderId="71" xfId="0" applyNumberFormat="1" applyFont="1" applyBorder="1" applyAlignment="1">
      <alignment vertical="top" wrapText="1" shrinkToFit="1"/>
    </xf>
    <xf numFmtId="49" fontId="22" fillId="0" borderId="71" xfId="0" applyNumberFormat="1" applyFont="1" applyBorder="1" applyAlignment="1">
      <alignment vertical="top" wrapText="1"/>
    </xf>
    <xf numFmtId="49" fontId="0" fillId="0" borderId="71" xfId="0" applyNumberFormat="1" applyBorder="1" applyAlignment="1">
      <alignment horizontal="center" vertical="top"/>
    </xf>
    <xf numFmtId="0" fontId="23" fillId="0" borderId="71" xfId="0" applyFont="1" applyBorder="1" applyAlignment="1">
      <alignment horizontal="center" vertical="center"/>
    </xf>
    <xf numFmtId="164" fontId="0" fillId="0" borderId="71" xfId="0" applyNumberFormat="1" applyBorder="1" applyAlignment="1" applyProtection="1">
      <alignment vertical="top"/>
      <protection hidden="1"/>
    </xf>
    <xf numFmtId="1" fontId="23" fillId="0" borderId="71" xfId="0" applyNumberFormat="1" applyFont="1" applyFill="1" applyBorder="1" applyAlignment="1" applyProtection="1">
      <alignment horizontal="center" vertical="top"/>
      <protection hidden="1"/>
    </xf>
    <xf numFmtId="164" fontId="23" fillId="0" borderId="71" xfId="0" applyNumberFormat="1" applyFont="1" applyBorder="1" applyAlignment="1" applyProtection="1">
      <protection hidden="1"/>
    </xf>
    <xf numFmtId="164" fontId="0" fillId="0" borderId="71" xfId="0" applyNumberFormat="1" applyBorder="1" applyAlignment="1" applyProtection="1">
      <protection hidden="1"/>
    </xf>
    <xf numFmtId="49" fontId="21" fillId="0" borderId="71" xfId="0" applyNumberFormat="1" applyFont="1" applyBorder="1"/>
    <xf numFmtId="49" fontId="21" fillId="0" borderId="71" xfId="0" applyNumberFormat="1" applyFont="1" applyBorder="1" applyAlignment="1">
      <alignment horizontal="left" vertical="center"/>
    </xf>
    <xf numFmtId="49" fontId="21" fillId="0" borderId="71" xfId="0" applyNumberFormat="1" applyFont="1" applyBorder="1" applyAlignment="1">
      <alignment vertical="center" wrapText="1"/>
    </xf>
    <xf numFmtId="0" fontId="22" fillId="0" borderId="71" xfId="0" applyFont="1" applyBorder="1" applyAlignment="1">
      <alignment horizontal="center" vertical="center" wrapText="1"/>
    </xf>
    <xf numFmtId="49" fontId="22" fillId="0" borderId="71" xfId="0" applyNumberFormat="1" applyFont="1" applyBorder="1" applyAlignment="1">
      <alignment vertical="center" wrapText="1"/>
    </xf>
    <xf numFmtId="49" fontId="22" fillId="0" borderId="71" xfId="0" applyNumberFormat="1" applyFont="1" applyBorder="1" applyAlignment="1">
      <alignment horizontal="center" vertical="center" wrapText="1"/>
    </xf>
    <xf numFmtId="164" fontId="22" fillId="0" borderId="71" xfId="0" applyNumberFormat="1" applyFont="1" applyBorder="1" applyAlignment="1">
      <alignment vertical="center" wrapText="1"/>
    </xf>
    <xf numFmtId="164" fontId="22" fillId="0" borderId="71" xfId="0" applyNumberFormat="1" applyFont="1" applyBorder="1" applyAlignment="1">
      <alignment horizontal="left" vertical="center" wrapText="1"/>
    </xf>
    <xf numFmtId="49" fontId="0" fillId="0" borderId="71" xfId="0" applyNumberFormat="1" applyBorder="1" applyAlignment="1">
      <alignment horizontal="center" vertical="top"/>
    </xf>
    <xf numFmtId="0" fontId="24" fillId="0" borderId="71" xfId="0" applyNumberFormat="1" applyFont="1" applyBorder="1" applyAlignment="1">
      <alignment wrapText="1"/>
    </xf>
    <xf numFmtId="0" fontId="23" fillId="0" borderId="71" xfId="0" applyFont="1" applyBorder="1" applyAlignment="1">
      <alignment horizontal="center" vertical="center"/>
    </xf>
    <xf numFmtId="164" fontId="0" fillId="0" borderId="71" xfId="0" applyNumberFormat="1" applyFill="1" applyBorder="1" applyAlignment="1" applyProtection="1">
      <alignment vertical="top"/>
      <protection hidden="1"/>
    </xf>
    <xf numFmtId="166" fontId="23" fillId="0" borderId="71" xfId="0" applyNumberFormat="1" applyFont="1" applyFill="1" applyBorder="1" applyAlignment="1" applyProtection="1">
      <alignment horizontal="center" vertical="top"/>
      <protection hidden="1"/>
    </xf>
    <xf numFmtId="164" fontId="22" fillId="0" borderId="71" xfId="0" applyNumberFormat="1" applyFont="1" applyBorder="1" applyAlignment="1" applyProtection="1">
      <alignment vertical="center" wrapText="1"/>
      <protection hidden="1"/>
    </xf>
    <xf numFmtId="0" fontId="24" fillId="0" borderId="71" xfId="0" applyFont="1" applyBorder="1"/>
    <xf numFmtId="0" fontId="23" fillId="0" borderId="71" xfId="0" applyFont="1" applyFill="1" applyBorder="1" applyAlignment="1">
      <alignment horizontal="center" vertical="center"/>
    </xf>
    <xf numFmtId="0" fontId="17" fillId="0" borderId="71" xfId="0" applyFont="1" applyFill="1" applyBorder="1" applyAlignment="1">
      <alignment horizontal="center" vertical="center"/>
    </xf>
    <xf numFmtId="166" fontId="17" fillId="0" borderId="71" xfId="0" applyNumberFormat="1" applyFont="1" applyFill="1" applyBorder="1" applyAlignment="1" applyProtection="1">
      <alignment horizontal="center" vertical="top"/>
      <protection hidden="1"/>
    </xf>
    <xf numFmtId="164" fontId="25" fillId="0" borderId="71" xfId="0" applyNumberFormat="1" applyFont="1" applyFill="1" applyBorder="1" applyAlignment="1" applyProtection="1">
      <alignment vertical="center" wrapText="1"/>
      <protection hidden="1"/>
    </xf>
    <xf numFmtId="164" fontId="17" fillId="0" borderId="71" xfId="0" applyNumberFormat="1" applyFont="1" applyFill="1" applyBorder="1" applyAlignment="1" applyProtection="1">
      <protection hidden="1"/>
    </xf>
    <xf numFmtId="49" fontId="22" fillId="0" borderId="71" xfId="0" applyNumberFormat="1" applyFont="1" applyBorder="1" applyAlignment="1">
      <alignment vertical="top"/>
    </xf>
    <xf numFmtId="0" fontId="0" fillId="0" borderId="71" xfId="0" applyBorder="1" applyAlignment="1">
      <alignment horizontal="center" vertical="top"/>
    </xf>
    <xf numFmtId="164" fontId="23" fillId="0" borderId="71" xfId="0" applyNumberFormat="1" applyFont="1" applyBorder="1" applyAlignment="1" applyProtection="1">
      <alignment vertical="top"/>
      <protection hidden="1"/>
    </xf>
    <xf numFmtId="0" fontId="23" fillId="0" borderId="71" xfId="0" applyFont="1" applyBorder="1" applyAlignment="1">
      <alignment horizontal="center" vertical="center" wrapText="1"/>
    </xf>
    <xf numFmtId="49" fontId="23" fillId="0" borderId="71" xfId="0" applyNumberFormat="1" applyFont="1" applyBorder="1" applyAlignment="1">
      <alignment horizontal="center" vertical="center"/>
    </xf>
    <xf numFmtId="0" fontId="22" fillId="0" borderId="71" xfId="0" applyNumberFormat="1" applyFont="1" applyBorder="1" applyAlignment="1">
      <alignment vertical="top" wrapText="1"/>
    </xf>
    <xf numFmtId="49" fontId="0" fillId="0" borderId="104" xfId="0" applyNumberFormat="1" applyBorder="1" applyAlignment="1">
      <alignment horizontal="center" vertical="top"/>
    </xf>
    <xf numFmtId="49" fontId="0" fillId="0" borderId="105" xfId="0" applyNumberFormat="1" applyBorder="1" applyAlignment="1">
      <alignment horizontal="center" vertical="top"/>
    </xf>
    <xf numFmtId="49" fontId="22" fillId="0" borderId="105" xfId="0" applyNumberFormat="1" applyFont="1" applyBorder="1" applyAlignment="1">
      <alignment vertical="top"/>
    </xf>
    <xf numFmtId="0" fontId="0" fillId="0" borderId="105" xfId="0" applyBorder="1" applyAlignment="1">
      <alignment horizontal="center" vertical="top"/>
    </xf>
    <xf numFmtId="164" fontId="0" fillId="0" borderId="105" xfId="0" applyNumberFormat="1" applyBorder="1" applyAlignment="1" applyProtection="1">
      <alignment vertical="top"/>
      <protection hidden="1"/>
    </xf>
    <xf numFmtId="164" fontId="0" fillId="0" borderId="105" xfId="0" applyNumberFormat="1" applyBorder="1" applyAlignment="1" applyProtection="1">
      <protection hidden="1"/>
    </xf>
    <xf numFmtId="164" fontId="22" fillId="0" borderId="71" xfId="0" applyNumberFormat="1" applyFont="1" applyBorder="1" applyAlignment="1" applyProtection="1">
      <alignment vertical="top"/>
      <protection hidden="1"/>
    </xf>
    <xf numFmtId="164" fontId="22" fillId="0" borderId="71" xfId="0" applyNumberFormat="1" applyFont="1" applyBorder="1" applyAlignment="1" applyProtection="1">
      <protection hidden="1"/>
    </xf>
    <xf numFmtId="164" fontId="0" fillId="0" borderId="71" xfId="0" applyNumberFormat="1" applyBorder="1" applyAlignment="1"/>
    <xf numFmtId="164" fontId="0" fillId="0" borderId="71" xfId="0" applyNumberFormat="1" applyBorder="1"/>
    <xf numFmtId="164" fontId="0" fillId="3" borderId="71" xfId="0" applyNumberFormat="1" applyFill="1" applyBorder="1" applyAlignment="1" applyProtection="1">
      <alignment vertical="top"/>
      <protection locked="0" hidden="1"/>
    </xf>
    <xf numFmtId="164" fontId="17" fillId="3" borderId="71" xfId="0" applyNumberFormat="1" applyFont="1" applyFill="1" applyBorder="1" applyAlignment="1" applyProtection="1">
      <alignment vertical="top"/>
      <protection locked="0" hidden="1"/>
    </xf>
    <xf numFmtId="164" fontId="23" fillId="3" borderId="71" xfId="0" applyNumberFormat="1" applyFont="1" applyFill="1" applyBorder="1" applyAlignment="1" applyProtection="1">
      <alignment vertical="top"/>
      <protection locked="0" hidden="1"/>
    </xf>
    <xf numFmtId="0" fontId="27" fillId="0" borderId="71" xfId="0" applyFont="1" applyFill="1" applyBorder="1"/>
    <xf numFmtId="0" fontId="28" fillId="0" borderId="106" xfId="0" applyFont="1" applyFill="1" applyBorder="1" applyAlignment="1">
      <alignment horizontal="centerContinuous"/>
    </xf>
    <xf numFmtId="0" fontId="28" fillId="0" borderId="105" xfId="0" applyFont="1" applyFill="1" applyBorder="1" applyAlignment="1">
      <alignment horizontal="centerContinuous"/>
    </xf>
    <xf numFmtId="0" fontId="29" fillId="0" borderId="105" xfId="0" applyFont="1" applyFill="1" applyBorder="1" applyAlignment="1">
      <alignment horizontal="center"/>
    </xf>
    <xf numFmtId="0" fontId="28" fillId="0" borderId="105" xfId="0" applyFont="1" applyFill="1" applyBorder="1" applyAlignment="1"/>
    <xf numFmtId="0" fontId="28" fillId="0" borderId="107" xfId="0" applyFont="1" applyFill="1" applyBorder="1" applyAlignment="1"/>
    <xf numFmtId="0" fontId="30" fillId="0" borderId="71" xfId="0" applyFont="1" applyBorder="1" applyAlignment="1">
      <alignment horizontal="centerContinuous"/>
    </xf>
    <xf numFmtId="0" fontId="31" fillId="4" borderId="71" xfId="0" applyFont="1" applyFill="1" applyBorder="1" applyAlignment="1">
      <alignment horizontal="center"/>
    </xf>
    <xf numFmtId="0" fontId="0" fillId="4" borderId="71" xfId="0" applyFill="1" applyBorder="1"/>
    <xf numFmtId="167" fontId="0" fillId="0" borderId="71" xfId="0" applyNumberFormat="1" applyBorder="1"/>
    <xf numFmtId="167" fontId="0" fillId="0" borderId="71" xfId="0" applyNumberFormat="1" applyBorder="1" applyAlignment="1">
      <alignment horizontal="center"/>
    </xf>
    <xf numFmtId="49" fontId="0" fillId="0" borderId="71" xfId="0" applyNumberFormat="1" applyBorder="1" applyProtection="1">
      <protection locked="0"/>
    </xf>
    <xf numFmtId="0" fontId="0" fillId="0" borderId="71" xfId="0" applyNumberFormat="1" applyBorder="1"/>
    <xf numFmtId="0" fontId="0" fillId="0" borderId="71" xfId="0" applyFill="1" applyBorder="1"/>
    <xf numFmtId="168" fontId="21" fillId="0" borderId="71" xfId="0" applyNumberFormat="1" applyFont="1" applyFill="1" applyBorder="1"/>
    <xf numFmtId="167" fontId="21" fillId="4" borderId="71" xfId="0" applyNumberFormat="1" applyFont="1" applyFill="1" applyBorder="1"/>
    <xf numFmtId="2" fontId="0" fillId="0" borderId="71" xfId="0" applyNumberFormat="1" applyBorder="1" applyAlignment="1">
      <alignment horizontal="left"/>
    </xf>
    <xf numFmtId="10" fontId="22" fillId="0" borderId="71" xfId="0" applyNumberFormat="1" applyFont="1" applyBorder="1"/>
    <xf numFmtId="0" fontId="22" fillId="0" borderId="71" xfId="0" applyFont="1" applyBorder="1"/>
    <xf numFmtId="167" fontId="22" fillId="0" borderId="71" xfId="0" applyNumberFormat="1" applyFont="1" applyBorder="1"/>
    <xf numFmtId="2" fontId="22" fillId="0" borderId="71" xfId="0" applyNumberFormat="1" applyFont="1" applyBorder="1"/>
    <xf numFmtId="0" fontId="21" fillId="4" borderId="71" xfId="0" applyFont="1" applyFill="1" applyBorder="1"/>
    <xf numFmtId="168" fontId="21" fillId="4" borderId="71" xfId="0" applyNumberFormat="1" applyFont="1" applyFill="1" applyBorder="1"/>
    <xf numFmtId="168" fontId="21" fillId="0" borderId="71" xfId="0" applyNumberFormat="1" applyFont="1" applyBorder="1" applyAlignment="1">
      <alignment horizontal="centerContinuous"/>
    </xf>
    <xf numFmtId="49" fontId="32" fillId="0" borderId="71" xfId="0" applyNumberFormat="1" applyFont="1" applyBorder="1" applyAlignment="1">
      <alignment vertical="top" wrapText="1"/>
    </xf>
    <xf numFmtId="0" fontId="22" fillId="0" borderId="71" xfId="0" applyFont="1" applyBorder="1" applyAlignment="1">
      <alignment horizontal="right"/>
    </xf>
    <xf numFmtId="0" fontId="0" fillId="0" borderId="71" xfId="0" applyBorder="1" applyAlignment="1">
      <alignment wrapText="1"/>
    </xf>
    <xf numFmtId="49" fontId="23" fillId="0" borderId="71" xfId="0" applyNumberFormat="1" applyFont="1" applyBorder="1" applyAlignment="1">
      <alignment vertical="top" wrapText="1"/>
    </xf>
    <xf numFmtId="167" fontId="0" fillId="4" borderId="71" xfId="0" applyNumberFormat="1" applyFill="1" applyBorder="1"/>
    <xf numFmtId="49" fontId="17" fillId="0" borderId="71" xfId="0" applyNumberFormat="1" applyFont="1" applyBorder="1" applyAlignment="1">
      <alignment horizontal="left" vertical="center"/>
    </xf>
    <xf numFmtId="0" fontId="21" fillId="0" borderId="71" xfId="0" applyFont="1" applyBorder="1" applyAlignment="1">
      <alignment horizontal="centerContinuous"/>
    </xf>
    <xf numFmtId="0" fontId="21" fillId="4" borderId="71" xfId="0" applyFont="1" applyFill="1" applyBorder="1" applyAlignment="1">
      <alignment vertical="center"/>
    </xf>
    <xf numFmtId="168" fontId="21" fillId="4" borderId="71" xfId="0" applyNumberFormat="1" applyFont="1" applyFill="1" applyBorder="1" applyAlignment="1">
      <alignment horizontal="centerContinuous" vertical="center"/>
    </xf>
    <xf numFmtId="164" fontId="23" fillId="0" borderId="71" xfId="0" applyNumberFormat="1" applyFont="1" applyFill="1" applyBorder="1" applyAlignment="1" applyProtection="1">
      <protection hidden="1"/>
    </xf>
    <xf numFmtId="164" fontId="22" fillId="0" borderId="71" xfId="0" applyNumberFormat="1" applyFont="1" applyFill="1" applyBorder="1" applyAlignment="1" applyProtection="1">
      <alignment vertical="center" wrapText="1"/>
      <protection hidden="1"/>
    </xf>
    <xf numFmtId="164" fontId="0" fillId="0" borderId="105" xfId="0" applyNumberFormat="1" applyFill="1" applyBorder="1" applyAlignment="1" applyProtection="1">
      <alignment vertical="top"/>
      <protection hidden="1"/>
    </xf>
    <xf numFmtId="164" fontId="22" fillId="0" borderId="71" xfId="0" applyNumberFormat="1" applyFont="1" applyFill="1" applyBorder="1" applyAlignment="1" applyProtection="1">
      <protection hidden="1"/>
    </xf>
    <xf numFmtId="164" fontId="22" fillId="0" borderId="71" xfId="0" applyNumberFormat="1" applyFont="1" applyFill="1" applyBorder="1" applyAlignment="1" applyProtection="1">
      <alignment vertical="center" wrapText="1"/>
    </xf>
    <xf numFmtId="2" fontId="22" fillId="3" borderId="71" xfId="0" applyNumberFormat="1" applyFont="1" applyFill="1" applyBorder="1" applyProtection="1">
      <protection locked="0"/>
    </xf>
    <xf numFmtId="1" fontId="22" fillId="3" borderId="71" xfId="0" applyNumberFormat="1" applyFont="1" applyFill="1" applyBorder="1" applyProtection="1">
      <protection locked="0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&#367;j%20disk/zakazky/0-AP/letovice/unikova%20cesta%202/vzt/VZT_CHUC%20B_nemocnice%20Letovice_4np_SSZ_dps_ocenen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SZ"/>
      <sheetName val="REKAPITULACE VZT"/>
    </sheetNames>
    <sheetDataSet>
      <sheetData sheetId="0">
        <row r="9">
          <cell r="B9" t="str">
            <v>Zař.č.20,20A - CHUC B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C10" sqref="C10:D11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85" t="s">
        <v>0</v>
      </c>
      <c r="B1" s="86"/>
      <c r="C1" s="86"/>
      <c r="D1" s="86"/>
      <c r="E1" s="86"/>
      <c r="F1" s="86"/>
      <c r="G1" s="86"/>
      <c r="H1" s="86"/>
      <c r="I1" s="86"/>
    </row>
    <row r="2" spans="1:9">
      <c r="A2" s="87" t="s">
        <v>1</v>
      </c>
      <c r="B2" s="88"/>
      <c r="C2" s="97" t="str">
        <f>'Stavební rozpočet'!D2</f>
        <v>Dokončení únikové cesty typu B - budova nemocnice</v>
      </c>
      <c r="D2" s="98"/>
      <c r="E2" s="92" t="s">
        <v>2</v>
      </c>
      <c r="F2" s="92" t="str">
        <f>'Stavební rozpočet'!J2</f>
        <v> </v>
      </c>
      <c r="G2" s="88"/>
      <c r="H2" s="92" t="s">
        <v>3</v>
      </c>
      <c r="I2" s="94" t="s">
        <v>4</v>
      </c>
    </row>
    <row r="3" spans="1:9" ht="15" customHeight="1">
      <c r="A3" s="89"/>
      <c r="B3" s="90"/>
      <c r="C3" s="99"/>
      <c r="D3" s="99"/>
      <c r="E3" s="90"/>
      <c r="F3" s="90"/>
      <c r="G3" s="90"/>
      <c r="H3" s="90"/>
      <c r="I3" s="95"/>
    </row>
    <row r="4" spans="1:9">
      <c r="A4" s="91" t="s">
        <v>5</v>
      </c>
      <c r="B4" s="90"/>
      <c r="C4" s="93" t="str">
        <f>'Stavební rozpočet'!D4</f>
        <v>Nemocnice Letovice, p. o.</v>
      </c>
      <c r="D4" s="90"/>
      <c r="E4" s="93" t="s">
        <v>6</v>
      </c>
      <c r="F4" s="93" t="str">
        <f>'Stavební rozpočet'!J4</f>
        <v> </v>
      </c>
      <c r="G4" s="90"/>
      <c r="H4" s="93" t="s">
        <v>3</v>
      </c>
      <c r="I4" s="95" t="s">
        <v>4</v>
      </c>
    </row>
    <row r="5" spans="1:9" ht="15" customHeight="1">
      <c r="A5" s="89"/>
      <c r="B5" s="90"/>
      <c r="C5" s="90"/>
      <c r="D5" s="90"/>
      <c r="E5" s="90"/>
      <c r="F5" s="90"/>
      <c r="G5" s="90"/>
      <c r="H5" s="90"/>
      <c r="I5" s="95"/>
    </row>
    <row r="6" spans="1:9">
      <c r="A6" s="91" t="s">
        <v>7</v>
      </c>
      <c r="B6" s="90"/>
      <c r="C6" s="93" t="str">
        <f>'Stavební rozpočet'!D6</f>
        <v>Letovice, okr. Blansko, Jihomoravský</v>
      </c>
      <c r="D6" s="90"/>
      <c r="E6" s="93" t="s">
        <v>8</v>
      </c>
      <c r="F6" s="93" t="str">
        <f>'Stavební rozpočet'!J6</f>
        <v> </v>
      </c>
      <c r="G6" s="90"/>
      <c r="H6" s="93" t="s">
        <v>3</v>
      </c>
      <c r="I6" s="95" t="s">
        <v>4</v>
      </c>
    </row>
    <row r="7" spans="1:9" ht="15" customHeight="1">
      <c r="A7" s="89"/>
      <c r="B7" s="90"/>
      <c r="C7" s="90"/>
      <c r="D7" s="90"/>
      <c r="E7" s="90"/>
      <c r="F7" s="90"/>
      <c r="G7" s="90"/>
      <c r="H7" s="90"/>
      <c r="I7" s="95"/>
    </row>
    <row r="8" spans="1:9">
      <c r="A8" s="91" t="s">
        <v>9</v>
      </c>
      <c r="B8" s="90"/>
      <c r="C8" s="93" t="str">
        <f>'Stavební rozpočet'!H4</f>
        <v>30.09.2024</v>
      </c>
      <c r="D8" s="90"/>
      <c r="E8" s="93" t="s">
        <v>10</v>
      </c>
      <c r="F8" s="93" t="str">
        <f>'Stavební rozpočet'!H6</f>
        <v xml:space="preserve"> </v>
      </c>
      <c r="G8" s="90"/>
      <c r="H8" s="90" t="s">
        <v>11</v>
      </c>
      <c r="I8" s="96">
        <v>46</v>
      </c>
    </row>
    <row r="9" spans="1:9">
      <c r="A9" s="89"/>
      <c r="B9" s="90"/>
      <c r="C9" s="90"/>
      <c r="D9" s="90"/>
      <c r="E9" s="90"/>
      <c r="F9" s="90"/>
      <c r="G9" s="90"/>
      <c r="H9" s="90"/>
      <c r="I9" s="95"/>
    </row>
    <row r="10" spans="1:9">
      <c r="A10" s="91" t="s">
        <v>12</v>
      </c>
      <c r="B10" s="90"/>
      <c r="C10" s="93" t="str">
        <f>'Stavební rozpočet'!D8</f>
        <v xml:space="preserve"> </v>
      </c>
      <c r="D10" s="90"/>
      <c r="E10" s="93" t="s">
        <v>13</v>
      </c>
      <c r="F10" s="93" t="str">
        <f>'Stavební rozpočet'!J8</f>
        <v> </v>
      </c>
      <c r="G10" s="90"/>
      <c r="H10" s="90" t="s">
        <v>14</v>
      </c>
      <c r="I10" s="101" t="str">
        <f>'Stavební rozpočet'!H8</f>
        <v>30.09.2024</v>
      </c>
    </row>
    <row r="11" spans="1:9">
      <c r="A11" s="106"/>
      <c r="B11" s="100"/>
      <c r="C11" s="100"/>
      <c r="D11" s="100"/>
      <c r="E11" s="100"/>
      <c r="F11" s="100"/>
      <c r="G11" s="100"/>
      <c r="H11" s="100"/>
      <c r="I11" s="102"/>
    </row>
    <row r="12" spans="1:9" ht="23.25">
      <c r="A12" s="103" t="s">
        <v>15</v>
      </c>
      <c r="B12" s="103"/>
      <c r="C12" s="103"/>
      <c r="D12" s="103"/>
      <c r="E12" s="103"/>
      <c r="F12" s="103"/>
      <c r="G12" s="103"/>
      <c r="H12" s="103"/>
      <c r="I12" s="103"/>
    </row>
    <row r="13" spans="1:9" ht="26.25" customHeight="1">
      <c r="A13" s="6" t="s">
        <v>16</v>
      </c>
      <c r="B13" s="104" t="s">
        <v>17</v>
      </c>
      <c r="C13" s="105"/>
      <c r="D13" s="7" t="s">
        <v>18</v>
      </c>
      <c r="E13" s="104" t="s">
        <v>19</v>
      </c>
      <c r="F13" s="105"/>
      <c r="G13" s="7" t="s">
        <v>20</v>
      </c>
      <c r="H13" s="104" t="s">
        <v>21</v>
      </c>
      <c r="I13" s="105"/>
    </row>
    <row r="14" spans="1:9" ht="15.75">
      <c r="A14" s="8" t="s">
        <v>22</v>
      </c>
      <c r="B14" s="9" t="s">
        <v>23</v>
      </c>
      <c r="C14" s="10">
        <f>SUM('Stavební rozpočet'!AB12:AB114)</f>
        <v>0</v>
      </c>
      <c r="D14" s="113" t="s">
        <v>24</v>
      </c>
      <c r="E14" s="114"/>
      <c r="F14" s="10">
        <f>VORN!I15</f>
        <v>0</v>
      </c>
      <c r="G14" s="113" t="s">
        <v>25</v>
      </c>
      <c r="H14" s="114"/>
      <c r="I14" s="10">
        <f>VORN!I21</f>
        <v>0</v>
      </c>
    </row>
    <row r="15" spans="1:9" ht="15.75">
      <c r="A15" s="11" t="s">
        <v>4</v>
      </c>
      <c r="B15" s="9" t="s">
        <v>26</v>
      </c>
      <c r="C15" s="10">
        <f>SUM('Stavební rozpočet'!AC12:AC114)</f>
        <v>0</v>
      </c>
      <c r="D15" s="113" t="s">
        <v>27</v>
      </c>
      <c r="E15" s="114"/>
      <c r="F15" s="10">
        <f>VORN!I16</f>
        <v>0</v>
      </c>
      <c r="G15" s="113" t="s">
        <v>28</v>
      </c>
      <c r="H15" s="114"/>
      <c r="I15" s="10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rozpočet'!AD12:AD114)</f>
        <v>0</v>
      </c>
      <c r="D16" s="113" t="s">
        <v>30</v>
      </c>
      <c r="E16" s="114"/>
      <c r="F16" s="10">
        <f>VORN!I17</f>
        <v>0</v>
      </c>
      <c r="G16" s="113" t="s">
        <v>31</v>
      </c>
      <c r="H16" s="114"/>
      <c r="I16" s="10">
        <f>VORN!I23</f>
        <v>0</v>
      </c>
    </row>
    <row r="17" spans="1:9" ht="15.75">
      <c r="A17" s="11" t="s">
        <v>4</v>
      </c>
      <c r="B17" s="9" t="s">
        <v>26</v>
      </c>
      <c r="C17" s="10">
        <f>SUM('Stavební rozpočet'!AE12:AE114)</f>
        <v>0</v>
      </c>
      <c r="D17" s="113" t="s">
        <v>4</v>
      </c>
      <c r="E17" s="114"/>
      <c r="F17" s="12" t="s">
        <v>4</v>
      </c>
      <c r="G17" s="113" t="s">
        <v>32</v>
      </c>
      <c r="H17" s="114"/>
      <c r="I17" s="10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rozpočet'!AF12:AF114)</f>
        <v>0</v>
      </c>
      <c r="D18" s="113" t="s">
        <v>4</v>
      </c>
      <c r="E18" s="114"/>
      <c r="F18" s="12" t="s">
        <v>4</v>
      </c>
      <c r="G18" s="113" t="s">
        <v>34</v>
      </c>
      <c r="H18" s="114"/>
      <c r="I18" s="10">
        <f>VORN!I25</f>
        <v>0</v>
      </c>
    </row>
    <row r="19" spans="1:9" ht="15.75">
      <c r="A19" s="11" t="s">
        <v>4</v>
      </c>
      <c r="B19" s="9" t="s">
        <v>26</v>
      </c>
      <c r="C19" s="10">
        <f>SUM('Stavební rozpočet'!AG12:AG114)</f>
        <v>0</v>
      </c>
      <c r="D19" s="113" t="s">
        <v>4</v>
      </c>
      <c r="E19" s="114"/>
      <c r="F19" s="12" t="s">
        <v>4</v>
      </c>
      <c r="G19" s="113" t="s">
        <v>35</v>
      </c>
      <c r="H19" s="114"/>
      <c r="I19" s="10">
        <f>VORN!I26</f>
        <v>0</v>
      </c>
    </row>
    <row r="20" spans="1:9" ht="15.75">
      <c r="A20" s="107" t="s">
        <v>36</v>
      </c>
      <c r="B20" s="108"/>
      <c r="C20" s="10">
        <f>SUM('Stavební rozpočet'!AH12:AH114)</f>
        <v>0</v>
      </c>
      <c r="D20" s="113" t="s">
        <v>4</v>
      </c>
      <c r="E20" s="114"/>
      <c r="F20" s="12" t="s">
        <v>4</v>
      </c>
      <c r="G20" s="113" t="s">
        <v>4</v>
      </c>
      <c r="H20" s="114"/>
      <c r="I20" s="12" t="s">
        <v>4</v>
      </c>
    </row>
    <row r="21" spans="1:9" ht="15.75">
      <c r="A21" s="109" t="s">
        <v>37</v>
      </c>
      <c r="B21" s="110"/>
      <c r="C21" s="13">
        <f>SUM('Stavební rozpočet'!Z12:Z114)</f>
        <v>0</v>
      </c>
      <c r="D21" s="115" t="s">
        <v>4</v>
      </c>
      <c r="E21" s="116"/>
      <c r="F21" s="14" t="s">
        <v>4</v>
      </c>
      <c r="G21" s="115" t="s">
        <v>4</v>
      </c>
      <c r="H21" s="116"/>
      <c r="I21" s="14" t="s">
        <v>4</v>
      </c>
    </row>
    <row r="22" spans="1:9" ht="16.5" customHeight="1">
      <c r="A22" s="111" t="s">
        <v>38</v>
      </c>
      <c r="B22" s="112"/>
      <c r="C22" s="15">
        <f>ROUND(SUM(C14:C21),0)</f>
        <v>0</v>
      </c>
      <c r="D22" s="117" t="s">
        <v>39</v>
      </c>
      <c r="E22" s="112"/>
      <c r="F22" s="15">
        <f>SUM(F14:F21)</f>
        <v>0</v>
      </c>
      <c r="G22" s="117" t="s">
        <v>40</v>
      </c>
      <c r="H22" s="112"/>
      <c r="I22" s="15">
        <f>ROUND(C22*(9/100),2)</f>
        <v>0</v>
      </c>
    </row>
    <row r="23" spans="1:9" ht="15.75">
      <c r="D23" s="107" t="s">
        <v>41</v>
      </c>
      <c r="E23" s="108"/>
      <c r="F23" s="16">
        <v>0</v>
      </c>
      <c r="G23" s="118" t="s">
        <v>42</v>
      </c>
      <c r="H23" s="108"/>
      <c r="I23" s="10">
        <v>0</v>
      </c>
    </row>
    <row r="24" spans="1:9" ht="15.75">
      <c r="G24" s="107" t="s">
        <v>43</v>
      </c>
      <c r="H24" s="108"/>
      <c r="I24" s="10">
        <f>vorn_sum</f>
        <v>0</v>
      </c>
    </row>
    <row r="25" spans="1:9" ht="15.75">
      <c r="G25" s="107" t="s">
        <v>44</v>
      </c>
      <c r="H25" s="108"/>
      <c r="I25" s="10">
        <v>0</v>
      </c>
    </row>
    <row r="27" spans="1:9" ht="15.75">
      <c r="A27" s="119" t="s">
        <v>45</v>
      </c>
      <c r="B27" s="120"/>
      <c r="C27" s="17">
        <f>ROUND(SUM('Stavební rozpočet'!AJ12:AJ114),0)</f>
        <v>0</v>
      </c>
    </row>
    <row r="28" spans="1:9" ht="15.75">
      <c r="A28" s="121" t="s">
        <v>46</v>
      </c>
      <c r="B28" s="122"/>
      <c r="C28" s="18">
        <f>ROUND(SUM('Stavební rozpočet'!AK12:AK114),0)</f>
        <v>0</v>
      </c>
      <c r="D28" s="123" t="s">
        <v>47</v>
      </c>
      <c r="E28" s="120"/>
      <c r="F28" s="17">
        <f>ROUND(C28*(12/100),2)</f>
        <v>0</v>
      </c>
      <c r="G28" s="123" t="s">
        <v>48</v>
      </c>
      <c r="H28" s="120"/>
      <c r="I28" s="17">
        <f>ROUND(SUM(C27:C29),0)</f>
        <v>0</v>
      </c>
    </row>
    <row r="29" spans="1:9" ht="15.75">
      <c r="A29" s="121" t="s">
        <v>49</v>
      </c>
      <c r="B29" s="122"/>
      <c r="C29" s="18">
        <f>ROUND(SUM('Stavební rozpočet'!AL12:AL114)+(F22+I22+F23+I23+I24+I25),0)</f>
        <v>0</v>
      </c>
      <c r="D29" s="124" t="s">
        <v>50</v>
      </c>
      <c r="E29" s="122"/>
      <c r="F29" s="18">
        <f>ROUND(C29*(21/100),2)</f>
        <v>0</v>
      </c>
      <c r="G29" s="124" t="s">
        <v>51</v>
      </c>
      <c r="H29" s="122"/>
      <c r="I29" s="18">
        <f>ROUND(SUM(F28:F29)+I28,0)</f>
        <v>0</v>
      </c>
    </row>
    <row r="31" spans="1:9">
      <c r="A31" s="134" t="s">
        <v>52</v>
      </c>
      <c r="B31" s="126"/>
      <c r="C31" s="127"/>
      <c r="D31" s="125" t="s">
        <v>53</v>
      </c>
      <c r="E31" s="126"/>
      <c r="F31" s="127"/>
      <c r="G31" s="125" t="s">
        <v>54</v>
      </c>
      <c r="H31" s="126"/>
      <c r="I31" s="127"/>
    </row>
    <row r="32" spans="1:9">
      <c r="A32" s="135" t="s">
        <v>4</v>
      </c>
      <c r="B32" s="129"/>
      <c r="C32" s="130"/>
      <c r="D32" s="128" t="s">
        <v>4</v>
      </c>
      <c r="E32" s="129"/>
      <c r="F32" s="130"/>
      <c r="G32" s="128" t="s">
        <v>4</v>
      </c>
      <c r="H32" s="129"/>
      <c r="I32" s="130"/>
    </row>
    <row r="33" spans="1:9">
      <c r="A33" s="135" t="s">
        <v>4</v>
      </c>
      <c r="B33" s="129"/>
      <c r="C33" s="130"/>
      <c r="D33" s="128" t="s">
        <v>4</v>
      </c>
      <c r="E33" s="129"/>
      <c r="F33" s="130"/>
      <c r="G33" s="128" t="s">
        <v>4</v>
      </c>
      <c r="H33" s="129"/>
      <c r="I33" s="130"/>
    </row>
    <row r="34" spans="1:9">
      <c r="A34" s="135" t="s">
        <v>4</v>
      </c>
      <c r="B34" s="129"/>
      <c r="C34" s="130"/>
      <c r="D34" s="128" t="s">
        <v>4</v>
      </c>
      <c r="E34" s="129"/>
      <c r="F34" s="130"/>
      <c r="G34" s="128" t="s">
        <v>4</v>
      </c>
      <c r="H34" s="129"/>
      <c r="I34" s="130"/>
    </row>
    <row r="35" spans="1:9">
      <c r="A35" s="136" t="s">
        <v>55</v>
      </c>
      <c r="B35" s="132"/>
      <c r="C35" s="133"/>
      <c r="D35" s="131" t="s">
        <v>55</v>
      </c>
      <c r="E35" s="132"/>
      <c r="F35" s="133"/>
      <c r="G35" s="131" t="s">
        <v>55</v>
      </c>
      <c r="H35" s="132"/>
      <c r="I35" s="133"/>
    </row>
    <row r="36" spans="1:9">
      <c r="A36" s="19" t="s">
        <v>56</v>
      </c>
    </row>
    <row r="37" spans="1:9" ht="12.75" customHeight="1">
      <c r="A37" s="93" t="s">
        <v>4</v>
      </c>
      <c r="B37" s="90"/>
      <c r="C37" s="90"/>
      <c r="D37" s="90"/>
      <c r="E37" s="90"/>
      <c r="F37" s="90"/>
      <c r="G37" s="90"/>
      <c r="H37" s="90"/>
      <c r="I37" s="90"/>
    </row>
  </sheetData>
  <sheetProtection sheet="1" objects="1" scenarios="1" selectLockedCells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85" t="s">
        <v>57</v>
      </c>
      <c r="B1" s="86"/>
      <c r="C1" s="86"/>
      <c r="D1" s="86"/>
      <c r="E1" s="86"/>
      <c r="F1" s="86"/>
      <c r="G1" s="86"/>
      <c r="H1" s="86"/>
      <c r="I1" s="86"/>
    </row>
    <row r="2" spans="1:9">
      <c r="A2" s="87" t="s">
        <v>1</v>
      </c>
      <c r="B2" s="88"/>
      <c r="C2" s="97" t="str">
        <f>'Stavební rozpočet'!D2</f>
        <v>Dokončení únikové cesty typu B - budova nemocnice</v>
      </c>
      <c r="D2" s="98"/>
      <c r="E2" s="92" t="s">
        <v>2</v>
      </c>
      <c r="F2" s="92" t="str">
        <f>'Stavební rozpočet'!J2</f>
        <v> </v>
      </c>
      <c r="G2" s="88"/>
      <c r="H2" s="92" t="s">
        <v>3</v>
      </c>
      <c r="I2" s="94" t="s">
        <v>4</v>
      </c>
    </row>
    <row r="3" spans="1:9" ht="15" customHeight="1">
      <c r="A3" s="89"/>
      <c r="B3" s="90"/>
      <c r="C3" s="99"/>
      <c r="D3" s="99"/>
      <c r="E3" s="90"/>
      <c r="F3" s="90"/>
      <c r="G3" s="90"/>
      <c r="H3" s="90"/>
      <c r="I3" s="95"/>
    </row>
    <row r="4" spans="1:9">
      <c r="A4" s="91" t="s">
        <v>5</v>
      </c>
      <c r="B4" s="90"/>
      <c r="C4" s="93" t="str">
        <f>'Stavební rozpočet'!D4</f>
        <v>Nemocnice Letovice, p. o.</v>
      </c>
      <c r="D4" s="90"/>
      <c r="E4" s="93" t="s">
        <v>6</v>
      </c>
      <c r="F4" s="93" t="str">
        <f>'Stavební rozpočet'!J4</f>
        <v> </v>
      </c>
      <c r="G4" s="90"/>
      <c r="H4" s="93" t="s">
        <v>3</v>
      </c>
      <c r="I4" s="95" t="s">
        <v>4</v>
      </c>
    </row>
    <row r="5" spans="1:9" ht="15" customHeight="1">
      <c r="A5" s="89"/>
      <c r="B5" s="90"/>
      <c r="C5" s="90"/>
      <c r="D5" s="90"/>
      <c r="E5" s="90"/>
      <c r="F5" s="90"/>
      <c r="G5" s="90"/>
      <c r="H5" s="90"/>
      <c r="I5" s="95"/>
    </row>
    <row r="6" spans="1:9">
      <c r="A6" s="91" t="s">
        <v>7</v>
      </c>
      <c r="B6" s="90"/>
      <c r="C6" s="93" t="str">
        <f>'Stavební rozpočet'!D6</f>
        <v>Letovice, okr. Blansko, Jihomoravský</v>
      </c>
      <c r="D6" s="90"/>
      <c r="E6" s="93" t="s">
        <v>8</v>
      </c>
      <c r="F6" s="93" t="str">
        <f>'Stavební rozpočet'!J6</f>
        <v> </v>
      </c>
      <c r="G6" s="90"/>
      <c r="H6" s="93" t="s">
        <v>3</v>
      </c>
      <c r="I6" s="95" t="s">
        <v>4</v>
      </c>
    </row>
    <row r="7" spans="1:9" ht="15" customHeight="1">
      <c r="A7" s="89"/>
      <c r="B7" s="90"/>
      <c r="C7" s="90"/>
      <c r="D7" s="90"/>
      <c r="E7" s="90"/>
      <c r="F7" s="90"/>
      <c r="G7" s="90"/>
      <c r="H7" s="90"/>
      <c r="I7" s="95"/>
    </row>
    <row r="8" spans="1:9">
      <c r="A8" s="91" t="s">
        <v>9</v>
      </c>
      <c r="B8" s="90"/>
      <c r="C8" s="93" t="str">
        <f>'Stavební rozpočet'!H4</f>
        <v>30.09.2024</v>
      </c>
      <c r="D8" s="90"/>
      <c r="E8" s="93" t="s">
        <v>10</v>
      </c>
      <c r="F8" s="93" t="str">
        <f>'Stavební rozpočet'!H6</f>
        <v xml:space="preserve"> </v>
      </c>
      <c r="G8" s="90"/>
      <c r="H8" s="90" t="s">
        <v>11</v>
      </c>
      <c r="I8" s="96">
        <v>46</v>
      </c>
    </row>
    <row r="9" spans="1:9">
      <c r="A9" s="89"/>
      <c r="B9" s="90"/>
      <c r="C9" s="90"/>
      <c r="D9" s="90"/>
      <c r="E9" s="90"/>
      <c r="F9" s="90"/>
      <c r="G9" s="90"/>
      <c r="H9" s="90"/>
      <c r="I9" s="95"/>
    </row>
    <row r="10" spans="1:9">
      <c r="A10" s="91" t="s">
        <v>12</v>
      </c>
      <c r="B10" s="90"/>
      <c r="C10" s="93" t="str">
        <f>'Stavební rozpočet'!D8</f>
        <v xml:space="preserve"> </v>
      </c>
      <c r="D10" s="90"/>
      <c r="E10" s="93" t="s">
        <v>13</v>
      </c>
      <c r="F10" s="93" t="str">
        <f>'Stavební rozpočet'!J8</f>
        <v> </v>
      </c>
      <c r="G10" s="90"/>
      <c r="H10" s="90" t="s">
        <v>14</v>
      </c>
      <c r="I10" s="101" t="str">
        <f>'Stavební rozpočet'!H8</f>
        <v>30.09.2024</v>
      </c>
    </row>
    <row r="11" spans="1:9">
      <c r="A11" s="106"/>
      <c r="B11" s="100"/>
      <c r="C11" s="100"/>
      <c r="D11" s="100"/>
      <c r="E11" s="100"/>
      <c r="F11" s="100"/>
      <c r="G11" s="100"/>
      <c r="H11" s="100"/>
      <c r="I11" s="102"/>
    </row>
    <row r="13" spans="1:9" ht="15.75">
      <c r="A13" s="137" t="s">
        <v>58</v>
      </c>
      <c r="B13" s="137"/>
      <c r="C13" s="137"/>
      <c r="D13" s="137"/>
      <c r="E13" s="137"/>
    </row>
    <row r="14" spans="1:9">
      <c r="A14" s="138" t="s">
        <v>59</v>
      </c>
      <c r="B14" s="139"/>
      <c r="C14" s="139"/>
      <c r="D14" s="139"/>
      <c r="E14" s="14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41" t="s">
        <v>24</v>
      </c>
      <c r="B15" s="142"/>
      <c r="C15" s="142"/>
      <c r="D15" s="142"/>
      <c r="E15" s="14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41" t="s">
        <v>27</v>
      </c>
      <c r="B16" s="142"/>
      <c r="C16" s="142"/>
      <c r="D16" s="142"/>
      <c r="E16" s="14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44" t="s">
        <v>30</v>
      </c>
      <c r="B17" s="145"/>
      <c r="C17" s="145"/>
      <c r="D17" s="145"/>
      <c r="E17" s="14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47" t="s">
        <v>63</v>
      </c>
      <c r="B18" s="148"/>
      <c r="C18" s="148"/>
      <c r="D18" s="148"/>
      <c r="E18" s="14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38" t="s">
        <v>21</v>
      </c>
      <c r="B20" s="139"/>
      <c r="C20" s="139"/>
      <c r="D20" s="139"/>
      <c r="E20" s="14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41" t="s">
        <v>25</v>
      </c>
      <c r="B21" s="142"/>
      <c r="C21" s="142"/>
      <c r="D21" s="142"/>
      <c r="E21" s="14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41" t="s">
        <v>28</v>
      </c>
      <c r="B22" s="142"/>
      <c r="C22" s="142"/>
      <c r="D22" s="142"/>
      <c r="E22" s="14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41" t="s">
        <v>31</v>
      </c>
      <c r="B23" s="142"/>
      <c r="C23" s="142"/>
      <c r="D23" s="142"/>
      <c r="E23" s="14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41" t="s">
        <v>32</v>
      </c>
      <c r="B24" s="142"/>
      <c r="C24" s="142"/>
      <c r="D24" s="142"/>
      <c r="E24" s="14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41" t="s">
        <v>34</v>
      </c>
      <c r="B25" s="142"/>
      <c r="C25" s="142"/>
      <c r="D25" s="142"/>
      <c r="E25" s="14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44" t="s">
        <v>35</v>
      </c>
      <c r="B26" s="145"/>
      <c r="C26" s="145"/>
      <c r="D26" s="145"/>
      <c r="E26" s="14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47" t="s">
        <v>64</v>
      </c>
      <c r="B27" s="148"/>
      <c r="C27" s="148"/>
      <c r="D27" s="148"/>
      <c r="E27" s="149"/>
      <c r="F27" s="25" t="s">
        <v>4</v>
      </c>
      <c r="G27" s="27">
        <v>9</v>
      </c>
      <c r="H27" s="27">
        <f>'Krycí list rozpočtu'!C22</f>
        <v>0</v>
      </c>
      <c r="I27" s="27">
        <f>ROUND((G27/100)*H27,2)</f>
        <v>0</v>
      </c>
    </row>
    <row r="29" spans="1:9" ht="15.75">
      <c r="A29" s="150" t="s">
        <v>65</v>
      </c>
      <c r="B29" s="151"/>
      <c r="C29" s="151"/>
      <c r="D29" s="151"/>
      <c r="E29" s="152"/>
      <c r="F29" s="153">
        <f>I18+I27</f>
        <v>0</v>
      </c>
      <c r="G29" s="154"/>
      <c r="H29" s="154"/>
      <c r="I29" s="155"/>
    </row>
    <row r="33" spans="1:9" ht="15.75">
      <c r="A33" s="137" t="s">
        <v>66</v>
      </c>
      <c r="B33" s="137"/>
      <c r="C33" s="137"/>
      <c r="D33" s="137"/>
      <c r="E33" s="137"/>
    </row>
    <row r="34" spans="1:9">
      <c r="A34" s="138" t="s">
        <v>67</v>
      </c>
      <c r="B34" s="139"/>
      <c r="C34" s="139"/>
      <c r="D34" s="139"/>
      <c r="E34" s="14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44" t="s">
        <v>4</v>
      </c>
      <c r="B35" s="145"/>
      <c r="C35" s="145"/>
      <c r="D35" s="145"/>
      <c r="E35" s="146"/>
      <c r="F35" s="23">
        <v>0</v>
      </c>
      <c r="G35" s="24" t="s">
        <v>4</v>
      </c>
      <c r="H35" s="24" t="s">
        <v>4</v>
      </c>
      <c r="I35" s="23">
        <f>F35</f>
        <v>0</v>
      </c>
    </row>
    <row r="36" spans="1:9">
      <c r="A36" s="147" t="s">
        <v>68</v>
      </c>
      <c r="B36" s="148"/>
      <c r="C36" s="148"/>
      <c r="D36" s="148"/>
      <c r="E36" s="149"/>
      <c r="F36" s="25" t="s">
        <v>4</v>
      </c>
      <c r="G36" s="26" t="s">
        <v>4</v>
      </c>
      <c r="H36" s="26" t="s">
        <v>4</v>
      </c>
      <c r="I36" s="27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>
      <pane ySplit="11" topLeftCell="A12" activePane="bottomLeft" state="frozen"/>
      <selection pane="bottomLeft" activeCell="A20" sqref="A20:L20"/>
    </sheetView>
  </sheetViews>
  <sheetFormatPr defaultColWidth="12.140625" defaultRowHeight="15" customHeight="1"/>
  <cols>
    <col min="1" max="1" width="7.5703125" customWidth="1"/>
    <col min="2" max="2" width="5.7109375" customWidth="1"/>
    <col min="3" max="8" width="15.7109375" customWidth="1"/>
    <col min="9" max="12" width="14.28515625" customWidth="1"/>
    <col min="13" max="16" width="12.140625" hidden="1"/>
  </cols>
  <sheetData>
    <row r="1" spans="1:16" ht="54.75" customHeight="1">
      <c r="A1" s="86" t="s">
        <v>69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6">
      <c r="A2" s="87" t="s">
        <v>1</v>
      </c>
      <c r="B2" s="88"/>
      <c r="C2" s="88"/>
      <c r="D2" s="97" t="str">
        <f>'Stavební rozpočet'!D2</f>
        <v>Dokončení únikové cesty typu B - budova nemocnice</v>
      </c>
      <c r="E2" s="98"/>
      <c r="F2" s="98"/>
      <c r="G2" s="92" t="s">
        <v>70</v>
      </c>
      <c r="H2" s="92" t="str">
        <f>'Stavební rozpočet'!H2</f>
        <v xml:space="preserve"> </v>
      </c>
      <c r="I2" s="92" t="s">
        <v>2</v>
      </c>
      <c r="J2" s="92" t="str">
        <f>'Stavební rozpočet'!J2</f>
        <v> </v>
      </c>
      <c r="K2" s="88"/>
      <c r="L2" s="94"/>
    </row>
    <row r="3" spans="1:16" ht="15" customHeight="1">
      <c r="A3" s="89"/>
      <c r="B3" s="90"/>
      <c r="C3" s="90"/>
      <c r="D3" s="99"/>
      <c r="E3" s="99"/>
      <c r="F3" s="99"/>
      <c r="G3" s="90"/>
      <c r="H3" s="90"/>
      <c r="I3" s="90"/>
      <c r="J3" s="90"/>
      <c r="K3" s="90"/>
      <c r="L3" s="95"/>
    </row>
    <row r="4" spans="1:16">
      <c r="A4" s="91" t="s">
        <v>5</v>
      </c>
      <c r="B4" s="90"/>
      <c r="C4" s="90"/>
      <c r="D4" s="93" t="str">
        <f>'Stavební rozpočet'!D4</f>
        <v>Nemocnice Letovice, p. o.</v>
      </c>
      <c r="E4" s="90"/>
      <c r="F4" s="90"/>
      <c r="G4" s="93" t="s">
        <v>9</v>
      </c>
      <c r="H4" s="93" t="str">
        <f>'Stavební rozpočet'!H4</f>
        <v>30.09.2024</v>
      </c>
      <c r="I4" s="93" t="s">
        <v>6</v>
      </c>
      <c r="J4" s="93" t="str">
        <f>'Stavební rozpočet'!J4</f>
        <v> </v>
      </c>
      <c r="K4" s="90"/>
      <c r="L4" s="95"/>
    </row>
    <row r="5" spans="1:16" ht="15" customHeight="1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5"/>
    </row>
    <row r="6" spans="1:16">
      <c r="A6" s="91" t="s">
        <v>7</v>
      </c>
      <c r="B6" s="90"/>
      <c r="C6" s="90"/>
      <c r="D6" s="93" t="str">
        <f>'Stavební rozpočet'!D6</f>
        <v>Letovice, okr. Blansko, Jihomoravský</v>
      </c>
      <c r="E6" s="90"/>
      <c r="F6" s="90"/>
      <c r="G6" s="93" t="s">
        <v>10</v>
      </c>
      <c r="H6" s="93" t="str">
        <f>'Stavební rozpočet'!H6</f>
        <v xml:space="preserve"> </v>
      </c>
      <c r="I6" s="93" t="s">
        <v>8</v>
      </c>
      <c r="J6" s="93" t="str">
        <f>'Stavební rozpočet'!J6</f>
        <v> </v>
      </c>
      <c r="K6" s="90"/>
      <c r="L6" s="95"/>
    </row>
    <row r="7" spans="1:16" ht="15" customHeight="1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5"/>
    </row>
    <row r="8" spans="1:16">
      <c r="A8" s="91" t="s">
        <v>12</v>
      </c>
      <c r="B8" s="90"/>
      <c r="C8" s="90"/>
      <c r="D8" s="93" t="str">
        <f>'Stavební rozpočet'!D8</f>
        <v xml:space="preserve"> </v>
      </c>
      <c r="E8" s="90"/>
      <c r="F8" s="90"/>
      <c r="G8" s="93" t="s">
        <v>71</v>
      </c>
      <c r="H8" s="93" t="str">
        <f>'Stavební rozpočet'!H8</f>
        <v>30.09.2024</v>
      </c>
      <c r="I8" s="93" t="s">
        <v>13</v>
      </c>
      <c r="J8" s="93" t="str">
        <f>'Stavební rozpočet'!J8</f>
        <v> </v>
      </c>
      <c r="K8" s="90"/>
      <c r="L8" s="95"/>
    </row>
    <row r="9" spans="1:16">
      <c r="A9" s="156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8"/>
    </row>
    <row r="10" spans="1:16">
      <c r="A10" s="28" t="s">
        <v>72</v>
      </c>
      <c r="B10" s="29" t="s">
        <v>72</v>
      </c>
      <c r="C10" s="159" t="s">
        <v>72</v>
      </c>
      <c r="D10" s="160"/>
      <c r="E10" s="160"/>
      <c r="F10" s="160"/>
      <c r="G10" s="160"/>
      <c r="H10" s="161"/>
      <c r="I10" s="165" t="s">
        <v>73</v>
      </c>
      <c r="J10" s="166"/>
      <c r="K10" s="167"/>
      <c r="L10" s="30" t="s">
        <v>74</v>
      </c>
    </row>
    <row r="11" spans="1:16">
      <c r="A11" s="31" t="s">
        <v>75</v>
      </c>
      <c r="B11" s="32" t="s">
        <v>76</v>
      </c>
      <c r="C11" s="162" t="s">
        <v>77</v>
      </c>
      <c r="D11" s="163"/>
      <c r="E11" s="163"/>
      <c r="F11" s="163"/>
      <c r="G11" s="163"/>
      <c r="H11" s="164"/>
      <c r="I11" s="33" t="s">
        <v>78</v>
      </c>
      <c r="J11" s="34" t="s">
        <v>26</v>
      </c>
      <c r="K11" s="35" t="s">
        <v>79</v>
      </c>
      <c r="L11" s="36" t="s">
        <v>79</v>
      </c>
    </row>
    <row r="12" spans="1:16">
      <c r="A12" s="37" t="s">
        <v>4</v>
      </c>
      <c r="B12" s="38" t="s">
        <v>4</v>
      </c>
      <c r="C12" s="168" t="s">
        <v>80</v>
      </c>
      <c r="D12" s="168"/>
      <c r="E12" s="168"/>
      <c r="F12" s="168"/>
      <c r="G12" s="168"/>
      <c r="H12" s="168"/>
      <c r="I12" s="39">
        <f>'Stavební rozpočet'!J12</f>
        <v>0</v>
      </c>
      <c r="J12" s="39">
        <f>'Stavební rozpočet'!K12</f>
        <v>0</v>
      </c>
      <c r="K12" s="39">
        <f>'Stavební rozpočet'!L12</f>
        <v>0</v>
      </c>
      <c r="L12" s="40">
        <f>'Stavební rozpočet'!O12</f>
        <v>3.6420576999999996</v>
      </c>
      <c r="M12" s="41" t="s">
        <v>81</v>
      </c>
      <c r="N12" s="42">
        <f t="shared" ref="N12:N17" si="0">IF(M12="F",0,K12)</f>
        <v>0</v>
      </c>
      <c r="O12" s="2" t="s">
        <v>4</v>
      </c>
      <c r="P12" s="42">
        <f t="shared" ref="P12:P17" si="1">IF(M12="T",0,K12)</f>
        <v>0</v>
      </c>
    </row>
    <row r="13" spans="1:16">
      <c r="A13" s="1" t="s">
        <v>4</v>
      </c>
      <c r="B13" s="2" t="s">
        <v>82</v>
      </c>
      <c r="C13" s="90" t="s">
        <v>83</v>
      </c>
      <c r="D13" s="90"/>
      <c r="E13" s="90"/>
      <c r="F13" s="90"/>
      <c r="G13" s="90"/>
      <c r="H13" s="90"/>
      <c r="I13" s="42">
        <f>SUMIF('Stavební rozpočet'!AZ13:AZ114,"_3_",'Stavební rozpočet'!AW13:AW114)</f>
        <v>0</v>
      </c>
      <c r="J13" s="42">
        <f>SUMIF('Stavební rozpočet'!AZ13:AZ114,"_3_",'Stavební rozpočet'!AX13:AX114)</f>
        <v>0</v>
      </c>
      <c r="K13" s="42">
        <f>SUMIF('Stavební rozpočet'!AZ13:AZ114,"_3_",'Stavební rozpočet'!AV13:AV114)</f>
        <v>0</v>
      </c>
      <c r="L13" s="43">
        <f>SUMIF('Stavební rozpočet'!AZ13:AZ114,"_3_",'Stavební rozpočet'!BF13:BF114)</f>
        <v>6.8901600000000007E-2</v>
      </c>
      <c r="M13" s="41" t="s">
        <v>84</v>
      </c>
      <c r="N13" s="42">
        <f t="shared" si="0"/>
        <v>0</v>
      </c>
      <c r="O13" s="2" t="s">
        <v>4</v>
      </c>
      <c r="P13" s="42">
        <f t="shared" si="1"/>
        <v>0</v>
      </c>
    </row>
    <row r="14" spans="1:16">
      <c r="A14" s="1" t="s">
        <v>4</v>
      </c>
      <c r="B14" s="2" t="s">
        <v>85</v>
      </c>
      <c r="C14" s="90" t="s">
        <v>86</v>
      </c>
      <c r="D14" s="90"/>
      <c r="E14" s="90"/>
      <c r="F14" s="90"/>
      <c r="G14" s="90"/>
      <c r="H14" s="90"/>
      <c r="I14" s="42">
        <f>SUMIF('Stavební rozpočet'!AZ13:AZ114,"_6_",'Stavební rozpočet'!AW13:AW114)</f>
        <v>0</v>
      </c>
      <c r="J14" s="42">
        <f>SUMIF('Stavební rozpočet'!AZ13:AZ114,"_6_",'Stavební rozpočet'!AX13:AX114)</f>
        <v>0</v>
      </c>
      <c r="K14" s="42">
        <f>SUMIF('Stavební rozpočet'!AZ13:AZ114,"_6_",'Stavební rozpočet'!AV13:AV114)</f>
        <v>0</v>
      </c>
      <c r="L14" s="43">
        <f>SUMIF('Stavební rozpočet'!AZ13:AZ114,"_6_",'Stavební rozpočet'!BF13:BF114)</f>
        <v>2.3416499999999996</v>
      </c>
      <c r="M14" s="41" t="s">
        <v>84</v>
      </c>
      <c r="N14" s="42">
        <f t="shared" si="0"/>
        <v>0</v>
      </c>
      <c r="O14" s="2" t="s">
        <v>4</v>
      </c>
      <c r="P14" s="42">
        <f t="shared" si="1"/>
        <v>0</v>
      </c>
    </row>
    <row r="15" spans="1:16">
      <c r="A15" s="1" t="s">
        <v>4</v>
      </c>
      <c r="B15" s="2" t="s">
        <v>87</v>
      </c>
      <c r="C15" s="90" t="s">
        <v>88</v>
      </c>
      <c r="D15" s="90"/>
      <c r="E15" s="90"/>
      <c r="F15" s="90"/>
      <c r="G15" s="90"/>
      <c r="H15" s="90"/>
      <c r="I15" s="42">
        <f>SUMIF('Stavební rozpočet'!AZ13:AZ114,"_76_",'Stavební rozpočet'!AW13:AW114)</f>
        <v>0</v>
      </c>
      <c r="J15" s="42">
        <f>SUMIF('Stavební rozpočet'!AZ13:AZ114,"_76_",'Stavební rozpočet'!AX13:AX114)</f>
        <v>0</v>
      </c>
      <c r="K15" s="42">
        <f>SUMIF('Stavební rozpočet'!AZ13:AZ114,"_76_",'Stavební rozpočet'!AV13:AV114)</f>
        <v>0</v>
      </c>
      <c r="L15" s="43">
        <f>SUMIF('Stavební rozpočet'!AZ13:AZ114,"_76_",'Stavební rozpočet'!BF13:BF114)</f>
        <v>4.2000000000000003E-2</v>
      </c>
      <c r="M15" s="41" t="s">
        <v>84</v>
      </c>
      <c r="N15" s="42">
        <f t="shared" si="0"/>
        <v>0</v>
      </c>
      <c r="O15" s="2" t="s">
        <v>4</v>
      </c>
      <c r="P15" s="42">
        <f t="shared" si="1"/>
        <v>0</v>
      </c>
    </row>
    <row r="16" spans="1:16">
      <c r="A16" s="1" t="s">
        <v>4</v>
      </c>
      <c r="B16" s="2" t="s">
        <v>89</v>
      </c>
      <c r="C16" s="90" t="s">
        <v>90</v>
      </c>
      <c r="D16" s="90"/>
      <c r="E16" s="90"/>
      <c r="F16" s="90"/>
      <c r="G16" s="90"/>
      <c r="H16" s="90"/>
      <c r="I16" s="42">
        <f>SUMIF('Stavební rozpočet'!AZ13:AZ114,"_78_",'Stavební rozpočet'!AW13:AW114)</f>
        <v>0</v>
      </c>
      <c r="J16" s="42">
        <f>SUMIF('Stavební rozpočet'!AZ13:AZ114,"_78_",'Stavební rozpočet'!AX13:AX114)</f>
        <v>0</v>
      </c>
      <c r="K16" s="42">
        <f>SUMIF('Stavební rozpočet'!AZ13:AZ114,"_78_",'Stavební rozpočet'!AV13:AV114)</f>
        <v>0</v>
      </c>
      <c r="L16" s="43">
        <f>SUMIF('Stavební rozpočet'!AZ13:AZ114,"_78_",'Stavební rozpočet'!BF13:BF114)</f>
        <v>5.5825199999999998E-2</v>
      </c>
      <c r="M16" s="41" t="s">
        <v>84</v>
      </c>
      <c r="N16" s="42">
        <f t="shared" si="0"/>
        <v>0</v>
      </c>
      <c r="O16" s="2" t="s">
        <v>4</v>
      </c>
      <c r="P16" s="42">
        <f t="shared" si="1"/>
        <v>0</v>
      </c>
    </row>
    <row r="17" spans="1:16">
      <c r="A17" s="4" t="s">
        <v>4</v>
      </c>
      <c r="B17" s="5" t="s">
        <v>91</v>
      </c>
      <c r="C17" s="100" t="s">
        <v>92</v>
      </c>
      <c r="D17" s="100"/>
      <c r="E17" s="100"/>
      <c r="F17" s="100"/>
      <c r="G17" s="100"/>
      <c r="H17" s="100"/>
      <c r="I17" s="44">
        <f>SUMIF('Stavební rozpočet'!AZ13:AZ114,"_9_",'Stavební rozpočet'!AW13:AW114)</f>
        <v>0</v>
      </c>
      <c r="J17" s="44">
        <f>SUMIF('Stavební rozpočet'!AZ13:AZ114,"_9_",'Stavební rozpočet'!AX13:AX114)</f>
        <v>0</v>
      </c>
      <c r="K17" s="44">
        <f>SUMIF('Stavební rozpočet'!AZ13:AZ114,"_9_",'Stavební rozpočet'!AV13:AV114)</f>
        <v>0</v>
      </c>
      <c r="L17" s="45">
        <f>SUMIF('Stavební rozpočet'!AZ13:AZ114,"_9_",'Stavební rozpočet'!BF13:BF114)</f>
        <v>1.1336808999999999</v>
      </c>
      <c r="M17" s="41" t="s">
        <v>84</v>
      </c>
      <c r="N17" s="42">
        <f t="shared" si="0"/>
        <v>0</v>
      </c>
      <c r="O17" s="2" t="s">
        <v>4</v>
      </c>
      <c r="P17" s="42">
        <f t="shared" si="1"/>
        <v>0</v>
      </c>
    </row>
    <row r="18" spans="1:16">
      <c r="I18" s="169" t="s">
        <v>93</v>
      </c>
      <c r="J18" s="169"/>
      <c r="K18" s="46">
        <f>ROUND(SUM(N12:N17),0)</f>
        <v>0</v>
      </c>
    </row>
    <row r="19" spans="1:16">
      <c r="A19" s="47" t="s">
        <v>56</v>
      </c>
    </row>
    <row r="20" spans="1:16" ht="12.75" customHeight="1">
      <c r="A20" s="93" t="s">
        <v>4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</sheetData>
  <sheetProtection sheet="1" objects="1" scenarios="1" selectLockedCells="1"/>
  <mergeCells count="36">
    <mergeCell ref="C15:H15"/>
    <mergeCell ref="C16:H16"/>
    <mergeCell ref="C17:H17"/>
    <mergeCell ref="I18:J18"/>
    <mergeCell ref="A20:L20"/>
    <mergeCell ref="C11:H11"/>
    <mergeCell ref="I10:K10"/>
    <mergeCell ref="C12:H12"/>
    <mergeCell ref="C13:H13"/>
    <mergeCell ref="C14:H14"/>
    <mergeCell ref="J2:L3"/>
    <mergeCell ref="J4:L5"/>
    <mergeCell ref="J6:L7"/>
    <mergeCell ref="J8:L9"/>
    <mergeCell ref="C10:H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scale="7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117"/>
  <sheetViews>
    <sheetView workbookViewId="0">
      <pane ySplit="11" topLeftCell="A75" activePane="bottomLeft" state="frozen"/>
      <selection pane="bottomLeft" activeCell="H101" sqref="H101"/>
    </sheetView>
  </sheetViews>
  <sheetFormatPr defaultColWidth="12.140625" defaultRowHeight="15" customHeight="1"/>
  <cols>
    <col min="1" max="1" width="4" customWidth="1"/>
    <col min="2" max="2" width="7.5703125" customWidth="1"/>
    <col min="3" max="3" width="17.85546875" customWidth="1"/>
    <col min="4" max="4" width="37.7109375" customWidth="1"/>
    <col min="5" max="5" width="26.570312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>
      <c r="A1" s="86" t="s">
        <v>94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AS1" s="48">
        <f>SUM(AJ1:AJ2)</f>
        <v>0</v>
      </c>
      <c r="AT1" s="48">
        <f>SUM(AK1:AK2)</f>
        <v>0</v>
      </c>
      <c r="AU1" s="48">
        <f>SUM(AL1:AL2)</f>
        <v>0</v>
      </c>
    </row>
    <row r="2" spans="1:76">
      <c r="A2" s="87" t="s">
        <v>1</v>
      </c>
      <c r="B2" s="88"/>
      <c r="C2" s="88"/>
      <c r="D2" s="97" t="s">
        <v>95</v>
      </c>
      <c r="E2" s="98"/>
      <c r="F2" s="88" t="s">
        <v>70</v>
      </c>
      <c r="G2" s="88"/>
      <c r="H2" s="88" t="s">
        <v>72</v>
      </c>
      <c r="I2" s="92" t="s">
        <v>2</v>
      </c>
      <c r="J2" s="88" t="s">
        <v>96</v>
      </c>
      <c r="K2" s="88"/>
      <c r="L2" s="88"/>
      <c r="M2" s="88"/>
      <c r="N2" s="88"/>
      <c r="O2" s="88"/>
      <c r="P2" s="94"/>
    </row>
    <row r="3" spans="1:76">
      <c r="A3" s="89"/>
      <c r="B3" s="90"/>
      <c r="C3" s="90"/>
      <c r="D3" s="99"/>
      <c r="E3" s="99"/>
      <c r="F3" s="90"/>
      <c r="G3" s="90"/>
      <c r="H3" s="90"/>
      <c r="I3" s="90"/>
      <c r="J3" s="90"/>
      <c r="K3" s="90"/>
      <c r="L3" s="90"/>
      <c r="M3" s="90"/>
      <c r="N3" s="90"/>
      <c r="O3" s="90"/>
      <c r="P3" s="95"/>
    </row>
    <row r="4" spans="1:76">
      <c r="A4" s="91" t="s">
        <v>5</v>
      </c>
      <c r="B4" s="90"/>
      <c r="C4" s="90"/>
      <c r="D4" s="93" t="s">
        <v>97</v>
      </c>
      <c r="E4" s="90"/>
      <c r="F4" s="90" t="s">
        <v>9</v>
      </c>
      <c r="G4" s="90"/>
      <c r="H4" s="90" t="s">
        <v>98</v>
      </c>
      <c r="I4" s="93" t="s">
        <v>6</v>
      </c>
      <c r="J4" s="90" t="s">
        <v>96</v>
      </c>
      <c r="K4" s="90"/>
      <c r="L4" s="90"/>
      <c r="M4" s="90"/>
      <c r="N4" s="90"/>
      <c r="O4" s="90"/>
      <c r="P4" s="95"/>
    </row>
    <row r="5" spans="1:76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5"/>
    </row>
    <row r="6" spans="1:76">
      <c r="A6" s="91" t="s">
        <v>7</v>
      </c>
      <c r="B6" s="90"/>
      <c r="C6" s="90"/>
      <c r="D6" s="93" t="s">
        <v>99</v>
      </c>
      <c r="E6" s="90"/>
      <c r="F6" s="90" t="s">
        <v>10</v>
      </c>
      <c r="G6" s="90"/>
      <c r="H6" s="90" t="s">
        <v>72</v>
      </c>
      <c r="I6" s="93" t="s">
        <v>8</v>
      </c>
      <c r="J6" s="90" t="s">
        <v>96</v>
      </c>
      <c r="K6" s="90"/>
      <c r="L6" s="90"/>
      <c r="M6" s="90"/>
      <c r="N6" s="90"/>
      <c r="O6" s="90"/>
      <c r="P6" s="95"/>
    </row>
    <row r="7" spans="1:76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5"/>
    </row>
    <row r="8" spans="1:76">
      <c r="A8" s="91" t="s">
        <v>12</v>
      </c>
      <c r="B8" s="90"/>
      <c r="C8" s="90"/>
      <c r="D8" s="93" t="s">
        <v>72</v>
      </c>
      <c r="E8" s="90"/>
      <c r="F8" s="90" t="s">
        <v>71</v>
      </c>
      <c r="G8" s="90"/>
      <c r="H8" s="90" t="s">
        <v>98</v>
      </c>
      <c r="I8" s="93" t="s">
        <v>13</v>
      </c>
      <c r="J8" s="90" t="s">
        <v>96</v>
      </c>
      <c r="K8" s="90"/>
      <c r="L8" s="90"/>
      <c r="M8" s="90"/>
      <c r="N8" s="90"/>
      <c r="O8" s="90"/>
      <c r="P8" s="95"/>
    </row>
    <row r="9" spans="1:76">
      <c r="A9" s="156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8"/>
    </row>
    <row r="10" spans="1:76">
      <c r="A10" s="49" t="s">
        <v>100</v>
      </c>
      <c r="B10" s="50" t="s">
        <v>75</v>
      </c>
      <c r="C10" s="50" t="s">
        <v>76</v>
      </c>
      <c r="D10" s="170" t="s">
        <v>77</v>
      </c>
      <c r="E10" s="171"/>
      <c r="F10" s="50" t="s">
        <v>101</v>
      </c>
      <c r="G10" s="51" t="s">
        <v>102</v>
      </c>
      <c r="H10" s="52" t="s">
        <v>103</v>
      </c>
      <c r="I10" s="53" t="s">
        <v>104</v>
      </c>
      <c r="J10" s="165" t="s">
        <v>73</v>
      </c>
      <c r="K10" s="166"/>
      <c r="L10" s="167"/>
      <c r="M10" s="30" t="s">
        <v>73</v>
      </c>
      <c r="N10" s="173" t="s">
        <v>74</v>
      </c>
      <c r="O10" s="174"/>
      <c r="P10" s="54" t="s">
        <v>105</v>
      </c>
      <c r="BK10" s="55" t="s">
        <v>106</v>
      </c>
      <c r="BL10" s="56" t="s">
        <v>107</v>
      </c>
      <c r="BW10" s="56" t="s">
        <v>108</v>
      </c>
    </row>
    <row r="11" spans="1:76">
      <c r="A11" s="57" t="s">
        <v>72</v>
      </c>
      <c r="B11" s="58" t="s">
        <v>72</v>
      </c>
      <c r="C11" s="58" t="s">
        <v>72</v>
      </c>
      <c r="D11" s="162" t="s">
        <v>109</v>
      </c>
      <c r="E11" s="172"/>
      <c r="F11" s="58" t="s">
        <v>72</v>
      </c>
      <c r="G11" s="58" t="s">
        <v>72</v>
      </c>
      <c r="H11" s="59" t="s">
        <v>110</v>
      </c>
      <c r="I11" s="60" t="s">
        <v>72</v>
      </c>
      <c r="J11" s="33" t="s">
        <v>78</v>
      </c>
      <c r="K11" s="34" t="s">
        <v>26</v>
      </c>
      <c r="L11" s="35" t="s">
        <v>79</v>
      </c>
      <c r="M11" s="36" t="s">
        <v>111</v>
      </c>
      <c r="N11" s="61" t="s">
        <v>112</v>
      </c>
      <c r="O11" s="62" t="s">
        <v>79</v>
      </c>
      <c r="P11" s="63" t="s">
        <v>113</v>
      </c>
      <c r="Z11" s="55" t="s">
        <v>114</v>
      </c>
      <c r="AA11" s="55" t="s">
        <v>115</v>
      </c>
      <c r="AB11" s="55" t="s">
        <v>116</v>
      </c>
      <c r="AC11" s="55" t="s">
        <v>117</v>
      </c>
      <c r="AD11" s="55" t="s">
        <v>118</v>
      </c>
      <c r="AE11" s="55" t="s">
        <v>119</v>
      </c>
      <c r="AF11" s="55" t="s">
        <v>120</v>
      </c>
      <c r="AG11" s="55" t="s">
        <v>121</v>
      </c>
      <c r="AH11" s="55" t="s">
        <v>122</v>
      </c>
      <c r="BH11" s="55" t="s">
        <v>123</v>
      </c>
      <c r="BI11" s="55" t="s">
        <v>124</v>
      </c>
      <c r="BJ11" s="55" t="s">
        <v>125</v>
      </c>
    </row>
    <row r="12" spans="1:76">
      <c r="A12" s="64" t="s">
        <v>4</v>
      </c>
      <c r="B12" s="65" t="s">
        <v>4</v>
      </c>
      <c r="C12" s="65" t="s">
        <v>4</v>
      </c>
      <c r="D12" s="175" t="s">
        <v>80</v>
      </c>
      <c r="E12" s="176"/>
      <c r="F12" s="66" t="s">
        <v>72</v>
      </c>
      <c r="G12" s="66" t="s">
        <v>72</v>
      </c>
      <c r="H12" s="66" t="s">
        <v>72</v>
      </c>
      <c r="I12" s="66" t="s">
        <v>72</v>
      </c>
      <c r="J12" s="67">
        <f>J13+J20+J23+J60+J66+J78+J91+J98+J109+J112</f>
        <v>0</v>
      </c>
      <c r="K12" s="67">
        <f>K13+K20+K23+K60+K66+K78+K91+K98+K109+K112</f>
        <v>0</v>
      </c>
      <c r="L12" s="67">
        <f>L13+L20+L23+L60+L66+L78+L91+L98+L109+L112</f>
        <v>0</v>
      </c>
      <c r="M12" s="67">
        <f>M13+M20+M23+M60+M66+M78+M91+M98+M109+M112</f>
        <v>0</v>
      </c>
      <c r="N12" s="68" t="s">
        <v>4</v>
      </c>
      <c r="O12" s="67">
        <f>O13+O20+O23+O60+O66+O78+O91+O98+O109+O112</f>
        <v>3.6420576999999996</v>
      </c>
      <c r="P12" s="69" t="s">
        <v>4</v>
      </c>
    </row>
    <row r="13" spans="1:76">
      <c r="A13" s="70" t="s">
        <v>4</v>
      </c>
      <c r="B13" s="71" t="s">
        <v>4</v>
      </c>
      <c r="C13" s="71" t="s">
        <v>126</v>
      </c>
      <c r="D13" s="177" t="s">
        <v>127</v>
      </c>
      <c r="E13" s="178"/>
      <c r="F13" s="72" t="s">
        <v>72</v>
      </c>
      <c r="G13" s="72" t="s">
        <v>72</v>
      </c>
      <c r="H13" s="72" t="s">
        <v>72</v>
      </c>
      <c r="I13" s="72" t="s">
        <v>72</v>
      </c>
      <c r="J13" s="48">
        <f>SUM(J14:J18)</f>
        <v>0</v>
      </c>
      <c r="K13" s="48">
        <f>SUM(K14:K18)</f>
        <v>0</v>
      </c>
      <c r="L13" s="48">
        <f>SUM(L14:L18)</f>
        <v>0</v>
      </c>
      <c r="M13" s="48">
        <f>SUM(M14:M18)</f>
        <v>0</v>
      </c>
      <c r="N13" s="55" t="s">
        <v>4</v>
      </c>
      <c r="O13" s="48">
        <f>SUM(O14:O18)</f>
        <v>6.8901600000000007E-2</v>
      </c>
      <c r="P13" s="73" t="s">
        <v>4</v>
      </c>
      <c r="AI13" s="55" t="s">
        <v>4</v>
      </c>
      <c r="AS13" s="48">
        <f>SUM(AJ14:AJ18)</f>
        <v>0</v>
      </c>
      <c r="AT13" s="48">
        <f>SUM(AK14:AK18)</f>
        <v>0</v>
      </c>
      <c r="AU13" s="48">
        <f>SUM(AL14:AL18)</f>
        <v>0</v>
      </c>
    </row>
    <row r="14" spans="1:76">
      <c r="A14" s="1" t="s">
        <v>128</v>
      </c>
      <c r="B14" s="2" t="s">
        <v>4</v>
      </c>
      <c r="C14" s="2" t="s">
        <v>129</v>
      </c>
      <c r="D14" s="93" t="s">
        <v>130</v>
      </c>
      <c r="E14" s="90"/>
      <c r="F14" s="2" t="s">
        <v>131</v>
      </c>
      <c r="G14" s="42">
        <v>1</v>
      </c>
      <c r="H14" s="343"/>
      <c r="I14" s="74" t="s">
        <v>132</v>
      </c>
      <c r="J14" s="42">
        <f>G14*AO14</f>
        <v>0</v>
      </c>
      <c r="K14" s="42">
        <f>G14*AP14</f>
        <v>0</v>
      </c>
      <c r="L14" s="42">
        <f>G14*H14</f>
        <v>0</v>
      </c>
      <c r="M14" s="42">
        <f>L14*(1+BW14/100)</f>
        <v>0</v>
      </c>
      <c r="N14" s="42">
        <v>7.3200000000000001E-3</v>
      </c>
      <c r="O14" s="42">
        <f>G14*N14</f>
        <v>7.3200000000000001E-3</v>
      </c>
      <c r="P14" s="75" t="s">
        <v>133</v>
      </c>
      <c r="Z14" s="42">
        <f>IF(AQ14="5",BJ14,0)</f>
        <v>0</v>
      </c>
      <c r="AB14" s="42">
        <f>IF(AQ14="1",BH14,0)</f>
        <v>0</v>
      </c>
      <c r="AC14" s="42">
        <f>IF(AQ14="1",BI14,0)</f>
        <v>0</v>
      </c>
      <c r="AD14" s="42">
        <f>IF(AQ14="7",BH14,0)</f>
        <v>0</v>
      </c>
      <c r="AE14" s="42">
        <f>IF(AQ14="7",BI14,0)</f>
        <v>0</v>
      </c>
      <c r="AF14" s="42">
        <f>IF(AQ14="2",BH14,0)</f>
        <v>0</v>
      </c>
      <c r="AG14" s="42">
        <f>IF(AQ14="2",BI14,0)</f>
        <v>0</v>
      </c>
      <c r="AH14" s="42">
        <f>IF(AQ14="0",BJ14,0)</f>
        <v>0</v>
      </c>
      <c r="AI14" s="55" t="s">
        <v>4</v>
      </c>
      <c r="AJ14" s="42">
        <f>IF(AN14=0,L14,0)</f>
        <v>0</v>
      </c>
      <c r="AK14" s="42">
        <f>IF(AN14=12,L14,0)</f>
        <v>0</v>
      </c>
      <c r="AL14" s="42">
        <f>IF(AN14=21,L14,0)</f>
        <v>0</v>
      </c>
      <c r="AN14" s="42">
        <v>21</v>
      </c>
      <c r="AO14" s="42">
        <f>H14*0.901785288</f>
        <v>0</v>
      </c>
      <c r="AP14" s="42">
        <f>H14*(1-0.901785288)</f>
        <v>0</v>
      </c>
      <c r="AQ14" s="74" t="s">
        <v>128</v>
      </c>
      <c r="AV14" s="42">
        <f>AW14+AX14</f>
        <v>0</v>
      </c>
      <c r="AW14" s="42">
        <f>G14*AO14</f>
        <v>0</v>
      </c>
      <c r="AX14" s="42">
        <f>G14*AP14</f>
        <v>0</v>
      </c>
      <c r="AY14" s="74" t="s">
        <v>134</v>
      </c>
      <c r="AZ14" s="74" t="s">
        <v>135</v>
      </c>
      <c r="BA14" s="55" t="s">
        <v>136</v>
      </c>
      <c r="BC14" s="42">
        <f>AW14+AX14</f>
        <v>0</v>
      </c>
      <c r="BD14" s="42">
        <f>H14/(100-BE14)*100</f>
        <v>0</v>
      </c>
      <c r="BE14" s="42">
        <v>0</v>
      </c>
      <c r="BF14" s="42">
        <f>O14</f>
        <v>7.3200000000000001E-3</v>
      </c>
      <c r="BH14" s="42">
        <f>G14*AO14</f>
        <v>0</v>
      </c>
      <c r="BI14" s="42">
        <f>G14*AP14</f>
        <v>0</v>
      </c>
      <c r="BJ14" s="42">
        <f>G14*H14</f>
        <v>0</v>
      </c>
      <c r="BK14" s="42"/>
      <c r="BL14" s="42">
        <v>34</v>
      </c>
      <c r="BW14" s="42" t="str">
        <f>I14</f>
        <v>21</v>
      </c>
      <c r="BX14" s="3" t="s">
        <v>130</v>
      </c>
    </row>
    <row r="15" spans="1:76">
      <c r="A15" s="76"/>
      <c r="D15" s="77" t="s">
        <v>128</v>
      </c>
      <c r="E15" s="77" t="s">
        <v>4</v>
      </c>
      <c r="G15" s="78">
        <v>1</v>
      </c>
      <c r="P15" s="79"/>
    </row>
    <row r="16" spans="1:76">
      <c r="A16" s="1" t="s">
        <v>137</v>
      </c>
      <c r="B16" s="2" t="s">
        <v>4</v>
      </c>
      <c r="C16" s="2" t="s">
        <v>138</v>
      </c>
      <c r="D16" s="93" t="s">
        <v>139</v>
      </c>
      <c r="E16" s="90"/>
      <c r="F16" s="2" t="s">
        <v>140</v>
      </c>
      <c r="G16" s="42">
        <v>1.92</v>
      </c>
      <c r="H16" s="343"/>
      <c r="I16" s="74" t="s">
        <v>132</v>
      </c>
      <c r="J16" s="42">
        <f>G16*AO16</f>
        <v>0</v>
      </c>
      <c r="K16" s="42">
        <f>G16*AP16</f>
        <v>0</v>
      </c>
      <c r="L16" s="42">
        <f>G16*H16</f>
        <v>0</v>
      </c>
      <c r="M16" s="42">
        <f>L16*(1+BW16/100)</f>
        <v>0</v>
      </c>
      <c r="N16" s="42">
        <v>2.3460000000000002E-2</v>
      </c>
      <c r="O16" s="42">
        <f>G16*N16</f>
        <v>4.5043199999999999E-2</v>
      </c>
      <c r="P16" s="75" t="s">
        <v>133</v>
      </c>
      <c r="Z16" s="42">
        <f>IF(AQ16="5",BJ16,0)</f>
        <v>0</v>
      </c>
      <c r="AB16" s="42">
        <f>IF(AQ16="1",BH16,0)</f>
        <v>0</v>
      </c>
      <c r="AC16" s="42">
        <f>IF(AQ16="1",BI16,0)</f>
        <v>0</v>
      </c>
      <c r="AD16" s="42">
        <f>IF(AQ16="7",BH16,0)</f>
        <v>0</v>
      </c>
      <c r="AE16" s="42">
        <f>IF(AQ16="7",BI16,0)</f>
        <v>0</v>
      </c>
      <c r="AF16" s="42">
        <f>IF(AQ16="2",BH16,0)</f>
        <v>0</v>
      </c>
      <c r="AG16" s="42">
        <f>IF(AQ16="2",BI16,0)</f>
        <v>0</v>
      </c>
      <c r="AH16" s="42">
        <f>IF(AQ16="0",BJ16,0)</f>
        <v>0</v>
      </c>
      <c r="AI16" s="55" t="s">
        <v>4</v>
      </c>
      <c r="AJ16" s="42">
        <f>IF(AN16=0,L16,0)</f>
        <v>0</v>
      </c>
      <c r="AK16" s="42">
        <f>IF(AN16=12,L16,0)</f>
        <v>0</v>
      </c>
      <c r="AL16" s="42">
        <f>IF(AN16=21,L16,0)</f>
        <v>0</v>
      </c>
      <c r="AN16" s="42">
        <v>21</v>
      </c>
      <c r="AO16" s="42">
        <f>H16*0.553433599</f>
        <v>0</v>
      </c>
      <c r="AP16" s="42">
        <f>H16*(1-0.553433599)</f>
        <v>0</v>
      </c>
      <c r="AQ16" s="74" t="s">
        <v>128</v>
      </c>
      <c r="AV16" s="42">
        <f>AW16+AX16</f>
        <v>0</v>
      </c>
      <c r="AW16" s="42">
        <f>G16*AO16</f>
        <v>0</v>
      </c>
      <c r="AX16" s="42">
        <f>G16*AP16</f>
        <v>0</v>
      </c>
      <c r="AY16" s="74" t="s">
        <v>134</v>
      </c>
      <c r="AZ16" s="74" t="s">
        <v>135</v>
      </c>
      <c r="BA16" s="55" t="s">
        <v>136</v>
      </c>
      <c r="BC16" s="42">
        <f>AW16+AX16</f>
        <v>0</v>
      </c>
      <c r="BD16" s="42">
        <f>H16/(100-BE16)*100</f>
        <v>0</v>
      </c>
      <c r="BE16" s="42">
        <v>0</v>
      </c>
      <c r="BF16" s="42">
        <f>O16</f>
        <v>4.5043199999999999E-2</v>
      </c>
      <c r="BH16" s="42">
        <f>G16*AO16</f>
        <v>0</v>
      </c>
      <c r="BI16" s="42">
        <f>G16*AP16</f>
        <v>0</v>
      </c>
      <c r="BJ16" s="42">
        <f>G16*H16</f>
        <v>0</v>
      </c>
      <c r="BK16" s="42"/>
      <c r="BL16" s="42">
        <v>34</v>
      </c>
      <c r="BW16" s="42" t="str">
        <f>I16</f>
        <v>21</v>
      </c>
      <c r="BX16" s="3" t="s">
        <v>139</v>
      </c>
    </row>
    <row r="17" spans="1:76">
      <c r="A17" s="76"/>
      <c r="D17" s="77" t="s">
        <v>141</v>
      </c>
      <c r="E17" s="77" t="s">
        <v>4</v>
      </c>
      <c r="G17" s="78">
        <v>1.92</v>
      </c>
      <c r="P17" s="79"/>
    </row>
    <row r="18" spans="1:76">
      <c r="A18" s="1" t="s">
        <v>82</v>
      </c>
      <c r="B18" s="2" t="s">
        <v>4</v>
      </c>
      <c r="C18" s="2" t="s">
        <v>142</v>
      </c>
      <c r="D18" s="93" t="s">
        <v>143</v>
      </c>
      <c r="E18" s="90"/>
      <c r="F18" s="2" t="s">
        <v>140</v>
      </c>
      <c r="G18" s="42">
        <v>0.72</v>
      </c>
      <c r="H18" s="343"/>
      <c r="I18" s="74" t="s">
        <v>132</v>
      </c>
      <c r="J18" s="42">
        <f>G18*AO18</f>
        <v>0</v>
      </c>
      <c r="K18" s="42">
        <f>G18*AP18</f>
        <v>0</v>
      </c>
      <c r="L18" s="42">
        <f>G18*H18</f>
        <v>0</v>
      </c>
      <c r="M18" s="42">
        <f>L18*(1+BW18/100)</f>
        <v>0</v>
      </c>
      <c r="N18" s="42">
        <v>2.2970000000000001E-2</v>
      </c>
      <c r="O18" s="42">
        <f>G18*N18</f>
        <v>1.6538400000000002E-2</v>
      </c>
      <c r="P18" s="75" t="s">
        <v>133</v>
      </c>
      <c r="Z18" s="42">
        <f>IF(AQ18="5",BJ18,0)</f>
        <v>0</v>
      </c>
      <c r="AB18" s="42">
        <f>IF(AQ18="1",BH18,0)</f>
        <v>0</v>
      </c>
      <c r="AC18" s="42">
        <f>IF(AQ18="1",BI18,0)</f>
        <v>0</v>
      </c>
      <c r="AD18" s="42">
        <f>IF(AQ18="7",BH18,0)</f>
        <v>0</v>
      </c>
      <c r="AE18" s="42">
        <f>IF(AQ18="7",BI18,0)</f>
        <v>0</v>
      </c>
      <c r="AF18" s="42">
        <f>IF(AQ18="2",BH18,0)</f>
        <v>0</v>
      </c>
      <c r="AG18" s="42">
        <f>IF(AQ18="2",BI18,0)</f>
        <v>0</v>
      </c>
      <c r="AH18" s="42">
        <f>IF(AQ18="0",BJ18,0)</f>
        <v>0</v>
      </c>
      <c r="AI18" s="55" t="s">
        <v>4</v>
      </c>
      <c r="AJ18" s="42">
        <f>IF(AN18=0,L18,0)</f>
        <v>0</v>
      </c>
      <c r="AK18" s="42">
        <f>IF(AN18=12,L18,0)</f>
        <v>0</v>
      </c>
      <c r="AL18" s="42">
        <f>IF(AN18=21,L18,0)</f>
        <v>0</v>
      </c>
      <c r="AN18" s="42">
        <v>21</v>
      </c>
      <c r="AO18" s="42">
        <f>H18*0.563839178</f>
        <v>0</v>
      </c>
      <c r="AP18" s="42">
        <f>H18*(1-0.563839178)</f>
        <v>0</v>
      </c>
      <c r="AQ18" s="74" t="s">
        <v>128</v>
      </c>
      <c r="AV18" s="42">
        <f>AW18+AX18</f>
        <v>0</v>
      </c>
      <c r="AW18" s="42">
        <f>G18*AO18</f>
        <v>0</v>
      </c>
      <c r="AX18" s="42">
        <f>G18*AP18</f>
        <v>0</v>
      </c>
      <c r="AY18" s="74" t="s">
        <v>134</v>
      </c>
      <c r="AZ18" s="74" t="s">
        <v>135</v>
      </c>
      <c r="BA18" s="55" t="s">
        <v>136</v>
      </c>
      <c r="BC18" s="42">
        <f>AW18+AX18</f>
        <v>0</v>
      </c>
      <c r="BD18" s="42">
        <f>H18/(100-BE18)*100</f>
        <v>0</v>
      </c>
      <c r="BE18" s="42">
        <v>0</v>
      </c>
      <c r="BF18" s="42">
        <f>O18</f>
        <v>1.6538400000000002E-2</v>
      </c>
      <c r="BH18" s="42">
        <f>G18*AO18</f>
        <v>0</v>
      </c>
      <c r="BI18" s="42">
        <f>G18*AP18</f>
        <v>0</v>
      </c>
      <c r="BJ18" s="42">
        <f>G18*H18</f>
        <v>0</v>
      </c>
      <c r="BK18" s="42"/>
      <c r="BL18" s="42">
        <v>34</v>
      </c>
      <c r="BW18" s="42" t="str">
        <f>I18</f>
        <v>21</v>
      </c>
      <c r="BX18" s="3" t="s">
        <v>143</v>
      </c>
    </row>
    <row r="19" spans="1:76">
      <c r="A19" s="76"/>
      <c r="D19" s="77" t="s">
        <v>144</v>
      </c>
      <c r="E19" s="77" t="s">
        <v>4</v>
      </c>
      <c r="G19" s="78">
        <v>0.72</v>
      </c>
      <c r="P19" s="79"/>
    </row>
    <row r="20" spans="1:76">
      <c r="A20" s="70" t="s">
        <v>4</v>
      </c>
      <c r="B20" s="71" t="s">
        <v>4</v>
      </c>
      <c r="C20" s="71" t="s">
        <v>145</v>
      </c>
      <c r="D20" s="177" t="s">
        <v>146</v>
      </c>
      <c r="E20" s="178"/>
      <c r="F20" s="72" t="s">
        <v>72</v>
      </c>
      <c r="G20" s="72" t="s">
        <v>72</v>
      </c>
      <c r="H20" s="72" t="s">
        <v>72</v>
      </c>
      <c r="I20" s="72" t="s">
        <v>72</v>
      </c>
      <c r="J20" s="48">
        <f>SUM(J21:J21)</f>
        <v>0</v>
      </c>
      <c r="K20" s="48">
        <f>SUM(K21:K21)</f>
        <v>0</v>
      </c>
      <c r="L20" s="48">
        <f>SUM(L21:L21)</f>
        <v>0</v>
      </c>
      <c r="M20" s="48">
        <f>SUM(M21:M21)</f>
        <v>0</v>
      </c>
      <c r="N20" s="55" t="s">
        <v>4</v>
      </c>
      <c r="O20" s="48">
        <f>SUM(O21:O21)</f>
        <v>0.65015999999999996</v>
      </c>
      <c r="P20" s="73" t="s">
        <v>4</v>
      </c>
      <c r="AI20" s="55" t="s">
        <v>4</v>
      </c>
      <c r="AS20" s="48">
        <f>SUM(AJ21:AJ21)</f>
        <v>0</v>
      </c>
      <c r="AT20" s="48">
        <f>SUM(AK21:AK21)</f>
        <v>0</v>
      </c>
      <c r="AU20" s="48">
        <f>SUM(AL21:AL21)</f>
        <v>0</v>
      </c>
    </row>
    <row r="21" spans="1:76">
      <c r="A21" s="1" t="s">
        <v>147</v>
      </c>
      <c r="B21" s="2" t="s">
        <v>4</v>
      </c>
      <c r="C21" s="2" t="s">
        <v>148</v>
      </c>
      <c r="D21" s="93" t="s">
        <v>149</v>
      </c>
      <c r="E21" s="90"/>
      <c r="F21" s="2" t="s">
        <v>131</v>
      </c>
      <c r="G21" s="42">
        <v>18</v>
      </c>
      <c r="H21" s="343"/>
      <c r="I21" s="74" t="s">
        <v>132</v>
      </c>
      <c r="J21" s="42">
        <f>G21*AO21</f>
        <v>0</v>
      </c>
      <c r="K21" s="42">
        <f>G21*AP21</f>
        <v>0</v>
      </c>
      <c r="L21" s="42">
        <f>G21*H21</f>
        <v>0</v>
      </c>
      <c r="M21" s="42">
        <f>L21*(1+BW21/100)</f>
        <v>0</v>
      </c>
      <c r="N21" s="42">
        <v>3.6119999999999999E-2</v>
      </c>
      <c r="O21" s="42">
        <f>G21*N21</f>
        <v>0.65015999999999996</v>
      </c>
      <c r="P21" s="75" t="s">
        <v>133</v>
      </c>
      <c r="Z21" s="42">
        <f>IF(AQ21="5",BJ21,0)</f>
        <v>0</v>
      </c>
      <c r="AB21" s="42">
        <f>IF(AQ21="1",BH21,0)</f>
        <v>0</v>
      </c>
      <c r="AC21" s="42">
        <f>IF(AQ21="1",BI21,0)</f>
        <v>0</v>
      </c>
      <c r="AD21" s="42">
        <f>IF(AQ21="7",BH21,0)</f>
        <v>0</v>
      </c>
      <c r="AE21" s="42">
        <f>IF(AQ21="7",BI21,0)</f>
        <v>0</v>
      </c>
      <c r="AF21" s="42">
        <f>IF(AQ21="2",BH21,0)</f>
        <v>0</v>
      </c>
      <c r="AG21" s="42">
        <f>IF(AQ21="2",BI21,0)</f>
        <v>0</v>
      </c>
      <c r="AH21" s="42">
        <f>IF(AQ21="0",BJ21,0)</f>
        <v>0</v>
      </c>
      <c r="AI21" s="55" t="s">
        <v>4</v>
      </c>
      <c r="AJ21" s="42">
        <f>IF(AN21=0,L21,0)</f>
        <v>0</v>
      </c>
      <c r="AK21" s="42">
        <f>IF(AN21=12,L21,0)</f>
        <v>0</v>
      </c>
      <c r="AL21" s="42">
        <f>IF(AN21=21,L21,0)</f>
        <v>0</v>
      </c>
      <c r="AN21" s="42">
        <v>21</v>
      </c>
      <c r="AO21" s="42">
        <f>H21*0.375643435</f>
        <v>0</v>
      </c>
      <c r="AP21" s="42">
        <f>H21*(1-0.375643435)</f>
        <v>0</v>
      </c>
      <c r="AQ21" s="74" t="s">
        <v>128</v>
      </c>
      <c r="AV21" s="42">
        <f>AW21+AX21</f>
        <v>0</v>
      </c>
      <c r="AW21" s="42">
        <f>G21*AO21</f>
        <v>0</v>
      </c>
      <c r="AX21" s="42">
        <f>G21*AP21</f>
        <v>0</v>
      </c>
      <c r="AY21" s="74" t="s">
        <v>150</v>
      </c>
      <c r="AZ21" s="74" t="s">
        <v>151</v>
      </c>
      <c r="BA21" s="55" t="s">
        <v>136</v>
      </c>
      <c r="BC21" s="42">
        <f>AW21+AX21</f>
        <v>0</v>
      </c>
      <c r="BD21" s="42">
        <f>H21/(100-BE21)*100</f>
        <v>0</v>
      </c>
      <c r="BE21" s="42">
        <v>0</v>
      </c>
      <c r="BF21" s="42">
        <f>O21</f>
        <v>0.65015999999999996</v>
      </c>
      <c r="BH21" s="42">
        <f>G21*AO21</f>
        <v>0</v>
      </c>
      <c r="BI21" s="42">
        <f>G21*AP21</f>
        <v>0</v>
      </c>
      <c r="BJ21" s="42">
        <f>G21*H21</f>
        <v>0</v>
      </c>
      <c r="BK21" s="42"/>
      <c r="BL21" s="42">
        <v>61</v>
      </c>
      <c r="BW21" s="42" t="str">
        <f>I21</f>
        <v>21</v>
      </c>
      <c r="BX21" s="3" t="s">
        <v>149</v>
      </c>
    </row>
    <row r="22" spans="1:76">
      <c r="A22" s="76"/>
      <c r="D22" s="77" t="s">
        <v>152</v>
      </c>
      <c r="E22" s="77" t="s">
        <v>153</v>
      </c>
      <c r="G22" s="78">
        <v>18</v>
      </c>
      <c r="P22" s="79"/>
    </row>
    <row r="23" spans="1:76">
      <c r="A23" s="70" t="s">
        <v>4</v>
      </c>
      <c r="B23" s="71" t="s">
        <v>4</v>
      </c>
      <c r="C23" s="71" t="s">
        <v>154</v>
      </c>
      <c r="D23" s="177" t="s">
        <v>155</v>
      </c>
      <c r="E23" s="178"/>
      <c r="F23" s="72" t="s">
        <v>72</v>
      </c>
      <c r="G23" s="72" t="s">
        <v>72</v>
      </c>
      <c r="H23" s="72" t="s">
        <v>72</v>
      </c>
      <c r="I23" s="72" t="s">
        <v>72</v>
      </c>
      <c r="J23" s="48">
        <f>SUM(J24:J58)</f>
        <v>0</v>
      </c>
      <c r="K23" s="48">
        <f>SUM(K24:K58)</f>
        <v>0</v>
      </c>
      <c r="L23" s="48">
        <f>SUM(L24:L58)</f>
        <v>0</v>
      </c>
      <c r="M23" s="48">
        <f>SUM(M24:M58)</f>
        <v>0</v>
      </c>
      <c r="N23" s="55" t="s">
        <v>4</v>
      </c>
      <c r="O23" s="48">
        <f>SUM(O24:O58)</f>
        <v>1.6914899999999999</v>
      </c>
      <c r="P23" s="73" t="s">
        <v>4</v>
      </c>
      <c r="AI23" s="55" t="s">
        <v>4</v>
      </c>
      <c r="AS23" s="48">
        <f>SUM(AJ24:AJ58)</f>
        <v>0</v>
      </c>
      <c r="AT23" s="48">
        <f>SUM(AK24:AK58)</f>
        <v>0</v>
      </c>
      <c r="AU23" s="48">
        <f>SUM(AL24:AL58)</f>
        <v>0</v>
      </c>
    </row>
    <row r="24" spans="1:76">
      <c r="A24" s="1" t="s">
        <v>156</v>
      </c>
      <c r="B24" s="2" t="s">
        <v>4</v>
      </c>
      <c r="C24" s="2" t="s">
        <v>157</v>
      </c>
      <c r="D24" s="93" t="s">
        <v>158</v>
      </c>
      <c r="E24" s="90"/>
      <c r="F24" s="2" t="s">
        <v>131</v>
      </c>
      <c r="G24" s="42">
        <v>1</v>
      </c>
      <c r="H24" s="343"/>
      <c r="I24" s="74" t="s">
        <v>132</v>
      </c>
      <c r="J24" s="42">
        <f>G24*AO24</f>
        <v>0</v>
      </c>
      <c r="K24" s="42">
        <f>G24*AP24</f>
        <v>0</v>
      </c>
      <c r="L24" s="42">
        <f>G24*H24</f>
        <v>0</v>
      </c>
      <c r="M24" s="42">
        <f>L24*(1+BW24/100)</f>
        <v>0</v>
      </c>
      <c r="N24" s="42">
        <v>5.6509999999999998E-2</v>
      </c>
      <c r="O24" s="42">
        <f>G24*N24</f>
        <v>5.6509999999999998E-2</v>
      </c>
      <c r="P24" s="75" t="s">
        <v>133</v>
      </c>
      <c r="Z24" s="42">
        <f>IF(AQ24="5",BJ24,0)</f>
        <v>0</v>
      </c>
      <c r="AB24" s="42">
        <f>IF(AQ24="1",BH24,0)</f>
        <v>0</v>
      </c>
      <c r="AC24" s="42">
        <f>IF(AQ24="1",BI24,0)</f>
        <v>0</v>
      </c>
      <c r="AD24" s="42">
        <f>IF(AQ24="7",BH24,0)</f>
        <v>0</v>
      </c>
      <c r="AE24" s="42">
        <f>IF(AQ24="7",BI24,0)</f>
        <v>0</v>
      </c>
      <c r="AF24" s="42">
        <f>IF(AQ24="2",BH24,0)</f>
        <v>0</v>
      </c>
      <c r="AG24" s="42">
        <f>IF(AQ24="2",BI24,0)</f>
        <v>0</v>
      </c>
      <c r="AH24" s="42">
        <f>IF(AQ24="0",BJ24,0)</f>
        <v>0</v>
      </c>
      <c r="AI24" s="55" t="s">
        <v>4</v>
      </c>
      <c r="AJ24" s="42">
        <f>IF(AN24=0,L24,0)</f>
        <v>0</v>
      </c>
      <c r="AK24" s="42">
        <f>IF(AN24=12,L24,0)</f>
        <v>0</v>
      </c>
      <c r="AL24" s="42">
        <f>IF(AN24=21,L24,0)</f>
        <v>0</v>
      </c>
      <c r="AN24" s="42">
        <v>21</v>
      </c>
      <c r="AO24" s="42">
        <f>H24*0.162907712</f>
        <v>0</v>
      </c>
      <c r="AP24" s="42">
        <f>H24*(1-0.162907712)</f>
        <v>0</v>
      </c>
      <c r="AQ24" s="74" t="s">
        <v>128</v>
      </c>
      <c r="AV24" s="42">
        <f>AW24+AX24</f>
        <v>0</v>
      </c>
      <c r="AW24" s="42">
        <f>G24*AO24</f>
        <v>0</v>
      </c>
      <c r="AX24" s="42">
        <f>G24*AP24</f>
        <v>0</v>
      </c>
      <c r="AY24" s="74" t="s">
        <v>159</v>
      </c>
      <c r="AZ24" s="74" t="s">
        <v>151</v>
      </c>
      <c r="BA24" s="55" t="s">
        <v>136</v>
      </c>
      <c r="BC24" s="42">
        <f>AW24+AX24</f>
        <v>0</v>
      </c>
      <c r="BD24" s="42">
        <f>H24/(100-BE24)*100</f>
        <v>0</v>
      </c>
      <c r="BE24" s="42">
        <v>0</v>
      </c>
      <c r="BF24" s="42">
        <f>O24</f>
        <v>5.6509999999999998E-2</v>
      </c>
      <c r="BH24" s="42">
        <f>G24*AO24</f>
        <v>0</v>
      </c>
      <c r="BI24" s="42">
        <f>G24*AP24</f>
        <v>0</v>
      </c>
      <c r="BJ24" s="42">
        <f>G24*H24</f>
        <v>0</v>
      </c>
      <c r="BK24" s="42"/>
      <c r="BL24" s="42">
        <v>64</v>
      </c>
      <c r="BW24" s="42" t="str">
        <f>I24</f>
        <v>21</v>
      </c>
      <c r="BX24" s="3" t="s">
        <v>158</v>
      </c>
    </row>
    <row r="25" spans="1:76">
      <c r="A25" s="76"/>
      <c r="D25" s="77" t="s">
        <v>128</v>
      </c>
      <c r="E25" s="77" t="s">
        <v>160</v>
      </c>
      <c r="G25" s="78">
        <v>1</v>
      </c>
      <c r="P25" s="79"/>
    </row>
    <row r="26" spans="1:76">
      <c r="A26" s="1" t="s">
        <v>85</v>
      </c>
      <c r="B26" s="2" t="s">
        <v>4</v>
      </c>
      <c r="C26" s="2" t="s">
        <v>161</v>
      </c>
      <c r="D26" s="93" t="s">
        <v>162</v>
      </c>
      <c r="E26" s="90"/>
      <c r="F26" s="2" t="s">
        <v>163</v>
      </c>
      <c r="G26" s="42">
        <v>1</v>
      </c>
      <c r="H26" s="343"/>
      <c r="I26" s="74" t="s">
        <v>132</v>
      </c>
      <c r="J26" s="42">
        <f>G26*AO26</f>
        <v>0</v>
      </c>
      <c r="K26" s="42">
        <f>G26*AP26</f>
        <v>0</v>
      </c>
      <c r="L26" s="42">
        <f>G26*H26</f>
        <v>0</v>
      </c>
      <c r="M26" s="42">
        <f>L26*(1+BW26/100)</f>
        <v>0</v>
      </c>
      <c r="N26" s="42">
        <v>0.08</v>
      </c>
      <c r="O26" s="42">
        <f>G26*N26</f>
        <v>0.08</v>
      </c>
      <c r="P26" s="75" t="s">
        <v>164</v>
      </c>
      <c r="Z26" s="42">
        <f>IF(AQ26="5",BJ26,0)</f>
        <v>0</v>
      </c>
      <c r="AB26" s="42">
        <f>IF(AQ26="1",BH26,0)</f>
        <v>0</v>
      </c>
      <c r="AC26" s="42">
        <f>IF(AQ26="1",BI26,0)</f>
        <v>0</v>
      </c>
      <c r="AD26" s="42">
        <f>IF(AQ26="7",BH26,0)</f>
        <v>0</v>
      </c>
      <c r="AE26" s="42">
        <f>IF(AQ26="7",BI26,0)</f>
        <v>0</v>
      </c>
      <c r="AF26" s="42">
        <f>IF(AQ26="2",BH26,0)</f>
        <v>0</v>
      </c>
      <c r="AG26" s="42">
        <f>IF(AQ26="2",BI26,0)</f>
        <v>0</v>
      </c>
      <c r="AH26" s="42">
        <f>IF(AQ26="0",BJ26,0)</f>
        <v>0</v>
      </c>
      <c r="AI26" s="55" t="s">
        <v>4</v>
      </c>
      <c r="AJ26" s="42">
        <f>IF(AN26=0,L26,0)</f>
        <v>0</v>
      </c>
      <c r="AK26" s="42">
        <f>IF(AN26=12,L26,0)</f>
        <v>0</v>
      </c>
      <c r="AL26" s="42">
        <f>IF(AN26=21,L26,0)</f>
        <v>0</v>
      </c>
      <c r="AN26" s="42">
        <v>21</v>
      </c>
      <c r="AO26" s="42">
        <f>H26*1</f>
        <v>0</v>
      </c>
      <c r="AP26" s="42">
        <f>H26*(1-1)</f>
        <v>0</v>
      </c>
      <c r="AQ26" s="74" t="s">
        <v>128</v>
      </c>
      <c r="AV26" s="42">
        <f>AW26+AX26</f>
        <v>0</v>
      </c>
      <c r="AW26" s="42">
        <f>G26*AO26</f>
        <v>0</v>
      </c>
      <c r="AX26" s="42">
        <f>G26*AP26</f>
        <v>0</v>
      </c>
      <c r="AY26" s="74" t="s">
        <v>159</v>
      </c>
      <c r="AZ26" s="74" t="s">
        <v>151</v>
      </c>
      <c r="BA26" s="55" t="s">
        <v>136</v>
      </c>
      <c r="BC26" s="42">
        <f>AW26+AX26</f>
        <v>0</v>
      </c>
      <c r="BD26" s="42">
        <f>H26/(100-BE26)*100</f>
        <v>0</v>
      </c>
      <c r="BE26" s="42">
        <v>0</v>
      </c>
      <c r="BF26" s="42">
        <f>O26</f>
        <v>0.08</v>
      </c>
      <c r="BH26" s="42">
        <f>G26*AO26</f>
        <v>0</v>
      </c>
      <c r="BI26" s="42">
        <f>G26*AP26</f>
        <v>0</v>
      </c>
      <c r="BJ26" s="42">
        <f>G26*H26</f>
        <v>0</v>
      </c>
      <c r="BK26" s="42"/>
      <c r="BL26" s="42">
        <v>64</v>
      </c>
      <c r="BW26" s="42" t="str">
        <f>I26</f>
        <v>21</v>
      </c>
      <c r="BX26" s="3" t="s">
        <v>162</v>
      </c>
    </row>
    <row r="27" spans="1:76">
      <c r="A27" s="76"/>
      <c r="D27" s="77" t="s">
        <v>128</v>
      </c>
      <c r="E27" s="77" t="s">
        <v>160</v>
      </c>
      <c r="G27" s="78">
        <v>1</v>
      </c>
      <c r="P27" s="79"/>
    </row>
    <row r="28" spans="1:76">
      <c r="A28" s="1" t="s">
        <v>165</v>
      </c>
      <c r="B28" s="2" t="s">
        <v>4</v>
      </c>
      <c r="C28" s="2" t="s">
        <v>157</v>
      </c>
      <c r="D28" s="93" t="s">
        <v>158</v>
      </c>
      <c r="E28" s="90"/>
      <c r="F28" s="2" t="s">
        <v>131</v>
      </c>
      <c r="G28" s="42">
        <v>1</v>
      </c>
      <c r="H28" s="343"/>
      <c r="I28" s="74" t="s">
        <v>132</v>
      </c>
      <c r="J28" s="42">
        <f>G28*AO28</f>
        <v>0</v>
      </c>
      <c r="K28" s="42">
        <f>G28*AP28</f>
        <v>0</v>
      </c>
      <c r="L28" s="42">
        <f>G28*H28</f>
        <v>0</v>
      </c>
      <c r="M28" s="42">
        <f>L28*(1+BW28/100)</f>
        <v>0</v>
      </c>
      <c r="N28" s="42">
        <v>5.6509999999999998E-2</v>
      </c>
      <c r="O28" s="42">
        <f>G28*N28</f>
        <v>5.6509999999999998E-2</v>
      </c>
      <c r="P28" s="75" t="s">
        <v>133</v>
      </c>
      <c r="Z28" s="42">
        <f>IF(AQ28="5",BJ28,0)</f>
        <v>0</v>
      </c>
      <c r="AB28" s="42">
        <f>IF(AQ28="1",BH28,0)</f>
        <v>0</v>
      </c>
      <c r="AC28" s="42">
        <f>IF(AQ28="1",BI28,0)</f>
        <v>0</v>
      </c>
      <c r="AD28" s="42">
        <f>IF(AQ28="7",BH28,0)</f>
        <v>0</v>
      </c>
      <c r="AE28" s="42">
        <f>IF(AQ28="7",BI28,0)</f>
        <v>0</v>
      </c>
      <c r="AF28" s="42">
        <f>IF(AQ28="2",BH28,0)</f>
        <v>0</v>
      </c>
      <c r="AG28" s="42">
        <f>IF(AQ28="2",BI28,0)</f>
        <v>0</v>
      </c>
      <c r="AH28" s="42">
        <f>IF(AQ28="0",BJ28,0)</f>
        <v>0</v>
      </c>
      <c r="AI28" s="55" t="s">
        <v>4</v>
      </c>
      <c r="AJ28" s="42">
        <f>IF(AN28=0,L28,0)</f>
        <v>0</v>
      </c>
      <c r="AK28" s="42">
        <f>IF(AN28=12,L28,0)</f>
        <v>0</v>
      </c>
      <c r="AL28" s="42">
        <f>IF(AN28=21,L28,0)</f>
        <v>0</v>
      </c>
      <c r="AN28" s="42">
        <v>21</v>
      </c>
      <c r="AO28" s="42">
        <f>H28*0.162907712</f>
        <v>0</v>
      </c>
      <c r="AP28" s="42">
        <f>H28*(1-0.162907712)</f>
        <v>0</v>
      </c>
      <c r="AQ28" s="74" t="s">
        <v>128</v>
      </c>
      <c r="AV28" s="42">
        <f>AW28+AX28</f>
        <v>0</v>
      </c>
      <c r="AW28" s="42">
        <f>G28*AO28</f>
        <v>0</v>
      </c>
      <c r="AX28" s="42">
        <f>G28*AP28</f>
        <v>0</v>
      </c>
      <c r="AY28" s="74" t="s">
        <v>159</v>
      </c>
      <c r="AZ28" s="74" t="s">
        <v>151</v>
      </c>
      <c r="BA28" s="55" t="s">
        <v>136</v>
      </c>
      <c r="BC28" s="42">
        <f>AW28+AX28</f>
        <v>0</v>
      </c>
      <c r="BD28" s="42">
        <f>H28/(100-BE28)*100</f>
        <v>0</v>
      </c>
      <c r="BE28" s="42">
        <v>0</v>
      </c>
      <c r="BF28" s="42">
        <f>O28</f>
        <v>5.6509999999999998E-2</v>
      </c>
      <c r="BH28" s="42">
        <f>G28*AO28</f>
        <v>0</v>
      </c>
      <c r="BI28" s="42">
        <f>G28*AP28</f>
        <v>0</v>
      </c>
      <c r="BJ28" s="42">
        <f>G28*H28</f>
        <v>0</v>
      </c>
      <c r="BK28" s="42"/>
      <c r="BL28" s="42">
        <v>64</v>
      </c>
      <c r="BW28" s="42" t="str">
        <f>I28</f>
        <v>21</v>
      </c>
      <c r="BX28" s="3" t="s">
        <v>158</v>
      </c>
    </row>
    <row r="29" spans="1:76">
      <c r="A29" s="76"/>
      <c r="D29" s="77" t="s">
        <v>128</v>
      </c>
      <c r="E29" s="77" t="s">
        <v>166</v>
      </c>
      <c r="G29" s="78">
        <v>1</v>
      </c>
      <c r="P29" s="79"/>
    </row>
    <row r="30" spans="1:76">
      <c r="A30" s="1" t="s">
        <v>167</v>
      </c>
      <c r="B30" s="2" t="s">
        <v>4</v>
      </c>
      <c r="C30" s="2" t="s">
        <v>168</v>
      </c>
      <c r="D30" s="93" t="s">
        <v>169</v>
      </c>
      <c r="E30" s="90"/>
      <c r="F30" s="2" t="s">
        <v>163</v>
      </c>
      <c r="G30" s="42">
        <v>1</v>
      </c>
      <c r="H30" s="343"/>
      <c r="I30" s="74" t="s">
        <v>132</v>
      </c>
      <c r="J30" s="42">
        <f>G30*AO30</f>
        <v>0</v>
      </c>
      <c r="K30" s="42">
        <f>G30*AP30</f>
        <v>0</v>
      </c>
      <c r="L30" s="42">
        <f>G30*H30</f>
        <v>0</v>
      </c>
      <c r="M30" s="42">
        <f>L30*(1+BW30/100)</f>
        <v>0</v>
      </c>
      <c r="N30" s="42">
        <v>8.5000000000000006E-2</v>
      </c>
      <c r="O30" s="42">
        <f>G30*N30</f>
        <v>8.5000000000000006E-2</v>
      </c>
      <c r="P30" s="75" t="s">
        <v>164</v>
      </c>
      <c r="Z30" s="42">
        <f>IF(AQ30="5",BJ30,0)</f>
        <v>0</v>
      </c>
      <c r="AB30" s="42">
        <f>IF(AQ30="1",BH30,0)</f>
        <v>0</v>
      </c>
      <c r="AC30" s="42">
        <f>IF(AQ30="1",BI30,0)</f>
        <v>0</v>
      </c>
      <c r="AD30" s="42">
        <f>IF(AQ30="7",BH30,0)</f>
        <v>0</v>
      </c>
      <c r="AE30" s="42">
        <f>IF(AQ30="7",BI30,0)</f>
        <v>0</v>
      </c>
      <c r="AF30" s="42">
        <f>IF(AQ30="2",BH30,0)</f>
        <v>0</v>
      </c>
      <c r="AG30" s="42">
        <f>IF(AQ30="2",BI30,0)</f>
        <v>0</v>
      </c>
      <c r="AH30" s="42">
        <f>IF(AQ30="0",BJ30,0)</f>
        <v>0</v>
      </c>
      <c r="AI30" s="55" t="s">
        <v>4</v>
      </c>
      <c r="AJ30" s="42">
        <f>IF(AN30=0,L30,0)</f>
        <v>0</v>
      </c>
      <c r="AK30" s="42">
        <f>IF(AN30=12,L30,0)</f>
        <v>0</v>
      </c>
      <c r="AL30" s="42">
        <f>IF(AN30=21,L30,0)</f>
        <v>0</v>
      </c>
      <c r="AN30" s="42">
        <v>21</v>
      </c>
      <c r="AO30" s="42">
        <f>H30*1</f>
        <v>0</v>
      </c>
      <c r="AP30" s="42">
        <f>H30*(1-1)</f>
        <v>0</v>
      </c>
      <c r="AQ30" s="74" t="s">
        <v>128</v>
      </c>
      <c r="AV30" s="42">
        <f>AW30+AX30</f>
        <v>0</v>
      </c>
      <c r="AW30" s="42">
        <f>G30*AO30</f>
        <v>0</v>
      </c>
      <c r="AX30" s="42">
        <f>G30*AP30</f>
        <v>0</v>
      </c>
      <c r="AY30" s="74" t="s">
        <v>159</v>
      </c>
      <c r="AZ30" s="74" t="s">
        <v>151</v>
      </c>
      <c r="BA30" s="55" t="s">
        <v>136</v>
      </c>
      <c r="BC30" s="42">
        <f>AW30+AX30</f>
        <v>0</v>
      </c>
      <c r="BD30" s="42">
        <f>H30/(100-BE30)*100</f>
        <v>0</v>
      </c>
      <c r="BE30" s="42">
        <v>0</v>
      </c>
      <c r="BF30" s="42">
        <f>O30</f>
        <v>8.5000000000000006E-2</v>
      </c>
      <c r="BH30" s="42">
        <f>G30*AO30</f>
        <v>0</v>
      </c>
      <c r="BI30" s="42">
        <f>G30*AP30</f>
        <v>0</v>
      </c>
      <c r="BJ30" s="42">
        <f>G30*H30</f>
        <v>0</v>
      </c>
      <c r="BK30" s="42"/>
      <c r="BL30" s="42">
        <v>64</v>
      </c>
      <c r="BW30" s="42" t="str">
        <f>I30</f>
        <v>21</v>
      </c>
      <c r="BX30" s="3" t="s">
        <v>169</v>
      </c>
    </row>
    <row r="31" spans="1:76">
      <c r="A31" s="76"/>
      <c r="D31" s="77" t="s">
        <v>128</v>
      </c>
      <c r="E31" s="77" t="s">
        <v>166</v>
      </c>
      <c r="G31" s="78">
        <v>1</v>
      </c>
      <c r="P31" s="79"/>
    </row>
    <row r="32" spans="1:76">
      <c r="A32" s="1" t="s">
        <v>91</v>
      </c>
      <c r="B32" s="2" t="s">
        <v>4</v>
      </c>
      <c r="C32" s="2" t="s">
        <v>157</v>
      </c>
      <c r="D32" s="93" t="s">
        <v>158</v>
      </c>
      <c r="E32" s="90"/>
      <c r="F32" s="2" t="s">
        <v>131</v>
      </c>
      <c r="G32" s="42">
        <v>1</v>
      </c>
      <c r="H32" s="343"/>
      <c r="I32" s="74" t="s">
        <v>132</v>
      </c>
      <c r="J32" s="42">
        <f>G32*AO32</f>
        <v>0</v>
      </c>
      <c r="K32" s="42">
        <f>G32*AP32</f>
        <v>0</v>
      </c>
      <c r="L32" s="42">
        <f>G32*H32</f>
        <v>0</v>
      </c>
      <c r="M32" s="42">
        <f>L32*(1+BW32/100)</f>
        <v>0</v>
      </c>
      <c r="N32" s="42">
        <v>5.6509999999999998E-2</v>
      </c>
      <c r="O32" s="42">
        <f>G32*N32</f>
        <v>5.6509999999999998E-2</v>
      </c>
      <c r="P32" s="75" t="s">
        <v>133</v>
      </c>
      <c r="Z32" s="42">
        <f>IF(AQ32="5",BJ32,0)</f>
        <v>0</v>
      </c>
      <c r="AB32" s="42">
        <f>IF(AQ32="1",BH32,0)</f>
        <v>0</v>
      </c>
      <c r="AC32" s="42">
        <f>IF(AQ32="1",BI32,0)</f>
        <v>0</v>
      </c>
      <c r="AD32" s="42">
        <f>IF(AQ32="7",BH32,0)</f>
        <v>0</v>
      </c>
      <c r="AE32" s="42">
        <f>IF(AQ32="7",BI32,0)</f>
        <v>0</v>
      </c>
      <c r="AF32" s="42">
        <f>IF(AQ32="2",BH32,0)</f>
        <v>0</v>
      </c>
      <c r="AG32" s="42">
        <f>IF(AQ32="2",BI32,0)</f>
        <v>0</v>
      </c>
      <c r="AH32" s="42">
        <f>IF(AQ32="0",BJ32,0)</f>
        <v>0</v>
      </c>
      <c r="AI32" s="55" t="s">
        <v>4</v>
      </c>
      <c r="AJ32" s="42">
        <f>IF(AN32=0,L32,0)</f>
        <v>0</v>
      </c>
      <c r="AK32" s="42">
        <f>IF(AN32=12,L32,0)</f>
        <v>0</v>
      </c>
      <c r="AL32" s="42">
        <f>IF(AN32=21,L32,0)</f>
        <v>0</v>
      </c>
      <c r="AN32" s="42">
        <v>21</v>
      </c>
      <c r="AO32" s="42">
        <f>H32*0.162907712</f>
        <v>0</v>
      </c>
      <c r="AP32" s="42">
        <f>H32*(1-0.162907712)</f>
        <v>0</v>
      </c>
      <c r="AQ32" s="74" t="s">
        <v>128</v>
      </c>
      <c r="AV32" s="42">
        <f>AW32+AX32</f>
        <v>0</v>
      </c>
      <c r="AW32" s="42">
        <f>G32*AO32</f>
        <v>0</v>
      </c>
      <c r="AX32" s="42">
        <f>G32*AP32</f>
        <v>0</v>
      </c>
      <c r="AY32" s="74" t="s">
        <v>159</v>
      </c>
      <c r="AZ32" s="74" t="s">
        <v>151</v>
      </c>
      <c r="BA32" s="55" t="s">
        <v>136</v>
      </c>
      <c r="BC32" s="42">
        <f>AW32+AX32</f>
        <v>0</v>
      </c>
      <c r="BD32" s="42">
        <f>H32/(100-BE32)*100</f>
        <v>0</v>
      </c>
      <c r="BE32" s="42">
        <v>0</v>
      </c>
      <c r="BF32" s="42">
        <f>O32</f>
        <v>5.6509999999999998E-2</v>
      </c>
      <c r="BH32" s="42">
        <f>G32*AO32</f>
        <v>0</v>
      </c>
      <c r="BI32" s="42">
        <f>G32*AP32</f>
        <v>0</v>
      </c>
      <c r="BJ32" s="42">
        <f>G32*H32</f>
        <v>0</v>
      </c>
      <c r="BK32" s="42"/>
      <c r="BL32" s="42">
        <v>64</v>
      </c>
      <c r="BW32" s="42" t="str">
        <f>I32</f>
        <v>21</v>
      </c>
      <c r="BX32" s="3" t="s">
        <v>158</v>
      </c>
    </row>
    <row r="33" spans="1:76">
      <c r="A33" s="76"/>
      <c r="D33" s="77" t="s">
        <v>128</v>
      </c>
      <c r="E33" s="77" t="s">
        <v>170</v>
      </c>
      <c r="G33" s="78">
        <v>1</v>
      </c>
      <c r="P33" s="79"/>
    </row>
    <row r="34" spans="1:76">
      <c r="A34" s="1" t="s">
        <v>171</v>
      </c>
      <c r="B34" s="2" t="s">
        <v>4</v>
      </c>
      <c r="C34" s="2" t="s">
        <v>172</v>
      </c>
      <c r="D34" s="93" t="s">
        <v>173</v>
      </c>
      <c r="E34" s="90"/>
      <c r="F34" s="2" t="s">
        <v>163</v>
      </c>
      <c r="G34" s="42">
        <v>1</v>
      </c>
      <c r="H34" s="343"/>
      <c r="I34" s="74" t="s">
        <v>132</v>
      </c>
      <c r="J34" s="42">
        <f>G34*AO34</f>
        <v>0</v>
      </c>
      <c r="K34" s="42">
        <f>G34*AP34</f>
        <v>0</v>
      </c>
      <c r="L34" s="42">
        <f>G34*H34</f>
        <v>0</v>
      </c>
      <c r="M34" s="42">
        <f>L34*(1+BW34/100)</f>
        <v>0</v>
      </c>
      <c r="N34" s="42">
        <v>8.3000000000000004E-2</v>
      </c>
      <c r="O34" s="42">
        <f>G34*N34</f>
        <v>8.3000000000000004E-2</v>
      </c>
      <c r="P34" s="75" t="s">
        <v>4</v>
      </c>
      <c r="Z34" s="42">
        <f>IF(AQ34="5",BJ34,0)</f>
        <v>0</v>
      </c>
      <c r="AB34" s="42">
        <f>IF(AQ34="1",BH34,0)</f>
        <v>0</v>
      </c>
      <c r="AC34" s="42">
        <f>IF(AQ34="1",BI34,0)</f>
        <v>0</v>
      </c>
      <c r="AD34" s="42">
        <f>IF(AQ34="7",BH34,0)</f>
        <v>0</v>
      </c>
      <c r="AE34" s="42">
        <f>IF(AQ34="7",BI34,0)</f>
        <v>0</v>
      </c>
      <c r="AF34" s="42">
        <f>IF(AQ34="2",BH34,0)</f>
        <v>0</v>
      </c>
      <c r="AG34" s="42">
        <f>IF(AQ34="2",BI34,0)</f>
        <v>0</v>
      </c>
      <c r="AH34" s="42">
        <f>IF(AQ34="0",BJ34,0)</f>
        <v>0</v>
      </c>
      <c r="AI34" s="55" t="s">
        <v>4</v>
      </c>
      <c r="AJ34" s="42">
        <f>IF(AN34=0,L34,0)</f>
        <v>0</v>
      </c>
      <c r="AK34" s="42">
        <f>IF(AN34=12,L34,0)</f>
        <v>0</v>
      </c>
      <c r="AL34" s="42">
        <f>IF(AN34=21,L34,0)</f>
        <v>0</v>
      </c>
      <c r="AN34" s="42">
        <v>21</v>
      </c>
      <c r="AO34" s="42">
        <f>H34*1</f>
        <v>0</v>
      </c>
      <c r="AP34" s="42">
        <f>H34*(1-1)</f>
        <v>0</v>
      </c>
      <c r="AQ34" s="74" t="s">
        <v>128</v>
      </c>
      <c r="AV34" s="42">
        <f>AW34+AX34</f>
        <v>0</v>
      </c>
      <c r="AW34" s="42">
        <f>G34*AO34</f>
        <v>0</v>
      </c>
      <c r="AX34" s="42">
        <f>G34*AP34</f>
        <v>0</v>
      </c>
      <c r="AY34" s="74" t="s">
        <v>159</v>
      </c>
      <c r="AZ34" s="74" t="s">
        <v>151</v>
      </c>
      <c r="BA34" s="55" t="s">
        <v>136</v>
      </c>
      <c r="BC34" s="42">
        <f>AW34+AX34</f>
        <v>0</v>
      </c>
      <c r="BD34" s="42">
        <f>H34/(100-BE34)*100</f>
        <v>0</v>
      </c>
      <c r="BE34" s="42">
        <v>0</v>
      </c>
      <c r="BF34" s="42">
        <f>O34</f>
        <v>8.3000000000000004E-2</v>
      </c>
      <c r="BH34" s="42">
        <f>G34*AO34</f>
        <v>0</v>
      </c>
      <c r="BI34" s="42">
        <f>G34*AP34</f>
        <v>0</v>
      </c>
      <c r="BJ34" s="42">
        <f>G34*H34</f>
        <v>0</v>
      </c>
      <c r="BK34" s="42"/>
      <c r="BL34" s="42">
        <v>64</v>
      </c>
      <c r="BW34" s="42" t="str">
        <f>I34</f>
        <v>21</v>
      </c>
      <c r="BX34" s="3" t="s">
        <v>173</v>
      </c>
    </row>
    <row r="35" spans="1:76">
      <c r="A35" s="76"/>
      <c r="D35" s="77" t="s">
        <v>128</v>
      </c>
      <c r="E35" s="77" t="s">
        <v>170</v>
      </c>
      <c r="G35" s="78">
        <v>1</v>
      </c>
      <c r="P35" s="79"/>
    </row>
    <row r="36" spans="1:76">
      <c r="A36" s="1" t="s">
        <v>174</v>
      </c>
      <c r="B36" s="2" t="s">
        <v>4</v>
      </c>
      <c r="C36" s="2" t="s">
        <v>175</v>
      </c>
      <c r="D36" s="93" t="s">
        <v>176</v>
      </c>
      <c r="E36" s="90"/>
      <c r="F36" s="2" t="s">
        <v>131</v>
      </c>
      <c r="G36" s="42">
        <v>1</v>
      </c>
      <c r="H36" s="343"/>
      <c r="I36" s="74" t="s">
        <v>132</v>
      </c>
      <c r="J36" s="42">
        <f>G36*AO36</f>
        <v>0</v>
      </c>
      <c r="K36" s="42">
        <f>G36*AP36</f>
        <v>0</v>
      </c>
      <c r="L36" s="42">
        <f>G36*H36</f>
        <v>0</v>
      </c>
      <c r="M36" s="42">
        <f>L36*(1+BW36/100)</f>
        <v>0</v>
      </c>
      <c r="N36" s="42">
        <v>8.6760000000000004E-2</v>
      </c>
      <c r="O36" s="42">
        <f>G36*N36</f>
        <v>8.6760000000000004E-2</v>
      </c>
      <c r="P36" s="75" t="s">
        <v>133</v>
      </c>
      <c r="Z36" s="42">
        <f>IF(AQ36="5",BJ36,0)</f>
        <v>0</v>
      </c>
      <c r="AB36" s="42">
        <f>IF(AQ36="1",BH36,0)</f>
        <v>0</v>
      </c>
      <c r="AC36" s="42">
        <f>IF(AQ36="1",BI36,0)</f>
        <v>0</v>
      </c>
      <c r="AD36" s="42">
        <f>IF(AQ36="7",BH36,0)</f>
        <v>0</v>
      </c>
      <c r="AE36" s="42">
        <f>IF(AQ36="7",BI36,0)</f>
        <v>0</v>
      </c>
      <c r="AF36" s="42">
        <f>IF(AQ36="2",BH36,0)</f>
        <v>0</v>
      </c>
      <c r="AG36" s="42">
        <f>IF(AQ36="2",BI36,0)</f>
        <v>0</v>
      </c>
      <c r="AH36" s="42">
        <f>IF(AQ36="0",BJ36,0)</f>
        <v>0</v>
      </c>
      <c r="AI36" s="55" t="s">
        <v>4</v>
      </c>
      <c r="AJ36" s="42">
        <f>IF(AN36=0,L36,0)</f>
        <v>0</v>
      </c>
      <c r="AK36" s="42">
        <f>IF(AN36=12,L36,0)</f>
        <v>0</v>
      </c>
      <c r="AL36" s="42">
        <f>IF(AN36=21,L36,0)</f>
        <v>0</v>
      </c>
      <c r="AN36" s="42">
        <v>21</v>
      </c>
      <c r="AO36" s="42">
        <f>H36*0.195585859</f>
        <v>0</v>
      </c>
      <c r="AP36" s="42">
        <f>H36*(1-0.195585859)</f>
        <v>0</v>
      </c>
      <c r="AQ36" s="74" t="s">
        <v>128</v>
      </c>
      <c r="AV36" s="42">
        <f>AW36+AX36</f>
        <v>0</v>
      </c>
      <c r="AW36" s="42">
        <f>G36*AO36</f>
        <v>0</v>
      </c>
      <c r="AX36" s="42">
        <f>G36*AP36</f>
        <v>0</v>
      </c>
      <c r="AY36" s="74" t="s">
        <v>159</v>
      </c>
      <c r="AZ36" s="74" t="s">
        <v>151</v>
      </c>
      <c r="BA36" s="55" t="s">
        <v>136</v>
      </c>
      <c r="BC36" s="42">
        <f>AW36+AX36</f>
        <v>0</v>
      </c>
      <c r="BD36" s="42">
        <f>H36/(100-BE36)*100</f>
        <v>0</v>
      </c>
      <c r="BE36" s="42">
        <v>0</v>
      </c>
      <c r="BF36" s="42">
        <f>O36</f>
        <v>8.6760000000000004E-2</v>
      </c>
      <c r="BH36" s="42">
        <f>G36*AO36</f>
        <v>0</v>
      </c>
      <c r="BI36" s="42">
        <f>G36*AP36</f>
        <v>0</v>
      </c>
      <c r="BJ36" s="42">
        <f>G36*H36</f>
        <v>0</v>
      </c>
      <c r="BK36" s="42"/>
      <c r="BL36" s="42">
        <v>64</v>
      </c>
      <c r="BW36" s="42" t="str">
        <f>I36</f>
        <v>21</v>
      </c>
      <c r="BX36" s="3" t="s">
        <v>176</v>
      </c>
    </row>
    <row r="37" spans="1:76">
      <c r="A37" s="76"/>
      <c r="D37" s="77" t="s">
        <v>128</v>
      </c>
      <c r="E37" s="77" t="s">
        <v>177</v>
      </c>
      <c r="G37" s="78">
        <v>1</v>
      </c>
      <c r="P37" s="79"/>
    </row>
    <row r="38" spans="1:76">
      <c r="A38" s="1" t="s">
        <v>178</v>
      </c>
      <c r="B38" s="2" t="s">
        <v>4</v>
      </c>
      <c r="C38" s="2" t="s">
        <v>179</v>
      </c>
      <c r="D38" s="93" t="s">
        <v>180</v>
      </c>
      <c r="E38" s="90"/>
      <c r="F38" s="2" t="s">
        <v>163</v>
      </c>
      <c r="G38" s="42">
        <v>1</v>
      </c>
      <c r="H38" s="343"/>
      <c r="I38" s="74" t="s">
        <v>132</v>
      </c>
      <c r="J38" s="42">
        <f>G38*AO38</f>
        <v>0</v>
      </c>
      <c r="K38" s="42">
        <f>G38*AP38</f>
        <v>0</v>
      </c>
      <c r="L38" s="42">
        <f>G38*H38</f>
        <v>0</v>
      </c>
      <c r="M38" s="42">
        <f>L38*(1+BW38/100)</f>
        <v>0</v>
      </c>
      <c r="N38" s="42">
        <v>0.115</v>
      </c>
      <c r="O38" s="42">
        <f>G38*N38</f>
        <v>0.115</v>
      </c>
      <c r="P38" s="75" t="s">
        <v>4</v>
      </c>
      <c r="Z38" s="42">
        <f>IF(AQ38="5",BJ38,0)</f>
        <v>0</v>
      </c>
      <c r="AB38" s="42">
        <f>IF(AQ38="1",BH38,0)</f>
        <v>0</v>
      </c>
      <c r="AC38" s="42">
        <f>IF(AQ38="1",BI38,0)</f>
        <v>0</v>
      </c>
      <c r="AD38" s="42">
        <f>IF(AQ38="7",BH38,0)</f>
        <v>0</v>
      </c>
      <c r="AE38" s="42">
        <f>IF(AQ38="7",BI38,0)</f>
        <v>0</v>
      </c>
      <c r="AF38" s="42">
        <f>IF(AQ38="2",BH38,0)</f>
        <v>0</v>
      </c>
      <c r="AG38" s="42">
        <f>IF(AQ38="2",BI38,0)</f>
        <v>0</v>
      </c>
      <c r="AH38" s="42">
        <f>IF(AQ38="0",BJ38,0)</f>
        <v>0</v>
      </c>
      <c r="AI38" s="55" t="s">
        <v>4</v>
      </c>
      <c r="AJ38" s="42">
        <f>IF(AN38=0,L38,0)</f>
        <v>0</v>
      </c>
      <c r="AK38" s="42">
        <f>IF(AN38=12,L38,0)</f>
        <v>0</v>
      </c>
      <c r="AL38" s="42">
        <f>IF(AN38=21,L38,0)</f>
        <v>0</v>
      </c>
      <c r="AN38" s="42">
        <v>21</v>
      </c>
      <c r="AO38" s="42">
        <f>H38*1</f>
        <v>0</v>
      </c>
      <c r="AP38" s="42">
        <f>H38*(1-1)</f>
        <v>0</v>
      </c>
      <c r="AQ38" s="74" t="s">
        <v>128</v>
      </c>
      <c r="AV38" s="42">
        <f>AW38+AX38</f>
        <v>0</v>
      </c>
      <c r="AW38" s="42">
        <f>G38*AO38</f>
        <v>0</v>
      </c>
      <c r="AX38" s="42">
        <f>G38*AP38</f>
        <v>0</v>
      </c>
      <c r="AY38" s="74" t="s">
        <v>159</v>
      </c>
      <c r="AZ38" s="74" t="s">
        <v>151</v>
      </c>
      <c r="BA38" s="55" t="s">
        <v>136</v>
      </c>
      <c r="BC38" s="42">
        <f>AW38+AX38</f>
        <v>0</v>
      </c>
      <c r="BD38" s="42">
        <f>H38/(100-BE38)*100</f>
        <v>0</v>
      </c>
      <c r="BE38" s="42">
        <v>0</v>
      </c>
      <c r="BF38" s="42">
        <f>O38</f>
        <v>0.115</v>
      </c>
      <c r="BH38" s="42">
        <f>G38*AO38</f>
        <v>0</v>
      </c>
      <c r="BI38" s="42">
        <f>G38*AP38</f>
        <v>0</v>
      </c>
      <c r="BJ38" s="42">
        <f>G38*H38</f>
        <v>0</v>
      </c>
      <c r="BK38" s="42"/>
      <c r="BL38" s="42">
        <v>64</v>
      </c>
      <c r="BW38" s="42" t="str">
        <f>I38</f>
        <v>21</v>
      </c>
      <c r="BX38" s="3" t="s">
        <v>180</v>
      </c>
    </row>
    <row r="39" spans="1:76">
      <c r="A39" s="76"/>
      <c r="D39" s="77" t="s">
        <v>128</v>
      </c>
      <c r="E39" s="77" t="s">
        <v>177</v>
      </c>
      <c r="G39" s="78">
        <v>1</v>
      </c>
      <c r="P39" s="79"/>
    </row>
    <row r="40" spans="1:76">
      <c r="A40" s="1" t="s">
        <v>181</v>
      </c>
      <c r="B40" s="2" t="s">
        <v>4</v>
      </c>
      <c r="C40" s="2" t="s">
        <v>175</v>
      </c>
      <c r="D40" s="93" t="s">
        <v>176</v>
      </c>
      <c r="E40" s="90"/>
      <c r="F40" s="2" t="s">
        <v>131</v>
      </c>
      <c r="G40" s="42">
        <v>1</v>
      </c>
      <c r="H40" s="343"/>
      <c r="I40" s="74" t="s">
        <v>132</v>
      </c>
      <c r="J40" s="42">
        <f>G40*AO40</f>
        <v>0</v>
      </c>
      <c r="K40" s="42">
        <f>G40*AP40</f>
        <v>0</v>
      </c>
      <c r="L40" s="42">
        <f>G40*H40</f>
        <v>0</v>
      </c>
      <c r="M40" s="42">
        <f>L40*(1+BW40/100)</f>
        <v>0</v>
      </c>
      <c r="N40" s="42">
        <v>8.6760000000000004E-2</v>
      </c>
      <c r="O40" s="42">
        <f>G40*N40</f>
        <v>8.6760000000000004E-2</v>
      </c>
      <c r="P40" s="75" t="s">
        <v>133</v>
      </c>
      <c r="Z40" s="42">
        <f>IF(AQ40="5",BJ40,0)</f>
        <v>0</v>
      </c>
      <c r="AB40" s="42">
        <f>IF(AQ40="1",BH40,0)</f>
        <v>0</v>
      </c>
      <c r="AC40" s="42">
        <f>IF(AQ40="1",BI40,0)</f>
        <v>0</v>
      </c>
      <c r="AD40" s="42">
        <f>IF(AQ40="7",BH40,0)</f>
        <v>0</v>
      </c>
      <c r="AE40" s="42">
        <f>IF(AQ40="7",BI40,0)</f>
        <v>0</v>
      </c>
      <c r="AF40" s="42">
        <f>IF(AQ40="2",BH40,0)</f>
        <v>0</v>
      </c>
      <c r="AG40" s="42">
        <f>IF(AQ40="2",BI40,0)</f>
        <v>0</v>
      </c>
      <c r="AH40" s="42">
        <f>IF(AQ40="0",BJ40,0)</f>
        <v>0</v>
      </c>
      <c r="AI40" s="55" t="s">
        <v>4</v>
      </c>
      <c r="AJ40" s="42">
        <f>IF(AN40=0,L40,0)</f>
        <v>0</v>
      </c>
      <c r="AK40" s="42">
        <f>IF(AN40=12,L40,0)</f>
        <v>0</v>
      </c>
      <c r="AL40" s="42">
        <f>IF(AN40=21,L40,0)</f>
        <v>0</v>
      </c>
      <c r="AN40" s="42">
        <v>21</v>
      </c>
      <c r="AO40" s="42">
        <f>H40*0.195585859</f>
        <v>0</v>
      </c>
      <c r="AP40" s="42">
        <f>H40*(1-0.195585859)</f>
        <v>0</v>
      </c>
      <c r="AQ40" s="74" t="s">
        <v>128</v>
      </c>
      <c r="AV40" s="42">
        <f>AW40+AX40</f>
        <v>0</v>
      </c>
      <c r="AW40" s="42">
        <f>G40*AO40</f>
        <v>0</v>
      </c>
      <c r="AX40" s="42">
        <f>G40*AP40</f>
        <v>0</v>
      </c>
      <c r="AY40" s="74" t="s">
        <v>159</v>
      </c>
      <c r="AZ40" s="74" t="s">
        <v>151</v>
      </c>
      <c r="BA40" s="55" t="s">
        <v>136</v>
      </c>
      <c r="BC40" s="42">
        <f>AW40+AX40</f>
        <v>0</v>
      </c>
      <c r="BD40" s="42">
        <f>H40/(100-BE40)*100</f>
        <v>0</v>
      </c>
      <c r="BE40" s="42">
        <v>0</v>
      </c>
      <c r="BF40" s="42">
        <f>O40</f>
        <v>8.6760000000000004E-2</v>
      </c>
      <c r="BH40" s="42">
        <f>G40*AO40</f>
        <v>0</v>
      </c>
      <c r="BI40" s="42">
        <f>G40*AP40</f>
        <v>0</v>
      </c>
      <c r="BJ40" s="42">
        <f>G40*H40</f>
        <v>0</v>
      </c>
      <c r="BK40" s="42"/>
      <c r="BL40" s="42">
        <v>64</v>
      </c>
      <c r="BW40" s="42" t="str">
        <f>I40</f>
        <v>21</v>
      </c>
      <c r="BX40" s="3" t="s">
        <v>176</v>
      </c>
    </row>
    <row r="41" spans="1:76">
      <c r="A41" s="76"/>
      <c r="D41" s="77" t="s">
        <v>128</v>
      </c>
      <c r="E41" s="77" t="s">
        <v>182</v>
      </c>
      <c r="G41" s="78">
        <v>1</v>
      </c>
      <c r="P41" s="79"/>
    </row>
    <row r="42" spans="1:76">
      <c r="A42" s="1" t="s">
        <v>183</v>
      </c>
      <c r="B42" s="2" t="s">
        <v>4</v>
      </c>
      <c r="C42" s="2" t="s">
        <v>184</v>
      </c>
      <c r="D42" s="93" t="s">
        <v>185</v>
      </c>
      <c r="E42" s="90"/>
      <c r="F42" s="2" t="s">
        <v>131</v>
      </c>
      <c r="G42" s="42">
        <v>1</v>
      </c>
      <c r="H42" s="343"/>
      <c r="I42" s="74" t="s">
        <v>132</v>
      </c>
      <c r="J42" s="42">
        <f>G42*AO42</f>
        <v>0</v>
      </c>
      <c r="K42" s="42">
        <f>G42*AP42</f>
        <v>0</v>
      </c>
      <c r="L42" s="42">
        <f>G42*H42</f>
        <v>0</v>
      </c>
      <c r="M42" s="42">
        <f>L42*(1+BW42/100)</f>
        <v>0</v>
      </c>
      <c r="N42" s="42">
        <v>0.21</v>
      </c>
      <c r="O42" s="42">
        <f>G42*N42</f>
        <v>0.21</v>
      </c>
      <c r="P42" s="75" t="s">
        <v>164</v>
      </c>
      <c r="Z42" s="42">
        <f>IF(AQ42="5",BJ42,0)</f>
        <v>0</v>
      </c>
      <c r="AB42" s="42">
        <f>IF(AQ42="1",BH42,0)</f>
        <v>0</v>
      </c>
      <c r="AC42" s="42">
        <f>IF(AQ42="1",BI42,0)</f>
        <v>0</v>
      </c>
      <c r="AD42" s="42">
        <f>IF(AQ42="7",BH42,0)</f>
        <v>0</v>
      </c>
      <c r="AE42" s="42">
        <f>IF(AQ42="7",BI42,0)</f>
        <v>0</v>
      </c>
      <c r="AF42" s="42">
        <f>IF(AQ42="2",BH42,0)</f>
        <v>0</v>
      </c>
      <c r="AG42" s="42">
        <f>IF(AQ42="2",BI42,0)</f>
        <v>0</v>
      </c>
      <c r="AH42" s="42">
        <f>IF(AQ42="0",BJ42,0)</f>
        <v>0</v>
      </c>
      <c r="AI42" s="55" t="s">
        <v>4</v>
      </c>
      <c r="AJ42" s="42">
        <f>IF(AN42=0,L42,0)</f>
        <v>0</v>
      </c>
      <c r="AK42" s="42">
        <f>IF(AN42=12,L42,0)</f>
        <v>0</v>
      </c>
      <c r="AL42" s="42">
        <f>IF(AN42=21,L42,0)</f>
        <v>0</v>
      </c>
      <c r="AN42" s="42">
        <v>21</v>
      </c>
      <c r="AO42" s="42">
        <f>H42*1</f>
        <v>0</v>
      </c>
      <c r="AP42" s="42">
        <f>H42*(1-1)</f>
        <v>0</v>
      </c>
      <c r="AQ42" s="74" t="s">
        <v>128</v>
      </c>
      <c r="AV42" s="42">
        <f>AW42+AX42</f>
        <v>0</v>
      </c>
      <c r="AW42" s="42">
        <f>G42*AO42</f>
        <v>0</v>
      </c>
      <c r="AX42" s="42">
        <f>G42*AP42</f>
        <v>0</v>
      </c>
      <c r="AY42" s="74" t="s">
        <v>159</v>
      </c>
      <c r="AZ42" s="74" t="s">
        <v>151</v>
      </c>
      <c r="BA42" s="55" t="s">
        <v>136</v>
      </c>
      <c r="BC42" s="42">
        <f>AW42+AX42</f>
        <v>0</v>
      </c>
      <c r="BD42" s="42">
        <f>H42/(100-BE42)*100</f>
        <v>0</v>
      </c>
      <c r="BE42" s="42">
        <v>0</v>
      </c>
      <c r="BF42" s="42">
        <f>O42</f>
        <v>0.21</v>
      </c>
      <c r="BH42" s="42">
        <f>G42*AO42</f>
        <v>0</v>
      </c>
      <c r="BI42" s="42">
        <f>G42*AP42</f>
        <v>0</v>
      </c>
      <c r="BJ42" s="42">
        <f>G42*H42</f>
        <v>0</v>
      </c>
      <c r="BK42" s="42"/>
      <c r="BL42" s="42">
        <v>64</v>
      </c>
      <c r="BW42" s="42" t="str">
        <f>I42</f>
        <v>21</v>
      </c>
      <c r="BX42" s="3" t="s">
        <v>185</v>
      </c>
    </row>
    <row r="43" spans="1:76">
      <c r="A43" s="76"/>
      <c r="D43" s="77" t="s">
        <v>128</v>
      </c>
      <c r="E43" s="77" t="s">
        <v>182</v>
      </c>
      <c r="G43" s="78">
        <v>1</v>
      </c>
      <c r="P43" s="79"/>
    </row>
    <row r="44" spans="1:76">
      <c r="A44" s="1" t="s">
        <v>186</v>
      </c>
      <c r="B44" s="2" t="s">
        <v>4</v>
      </c>
      <c r="C44" s="2" t="s">
        <v>175</v>
      </c>
      <c r="D44" s="93" t="s">
        <v>176</v>
      </c>
      <c r="E44" s="90"/>
      <c r="F44" s="2" t="s">
        <v>131</v>
      </c>
      <c r="G44" s="42">
        <v>1</v>
      </c>
      <c r="H44" s="343"/>
      <c r="I44" s="74" t="s">
        <v>132</v>
      </c>
      <c r="J44" s="42">
        <f>G44*AO44</f>
        <v>0</v>
      </c>
      <c r="K44" s="42">
        <f>G44*AP44</f>
        <v>0</v>
      </c>
      <c r="L44" s="42">
        <f>G44*H44</f>
        <v>0</v>
      </c>
      <c r="M44" s="42">
        <f>L44*(1+BW44/100)</f>
        <v>0</v>
      </c>
      <c r="N44" s="42">
        <v>8.6760000000000004E-2</v>
      </c>
      <c r="O44" s="42">
        <f>G44*N44</f>
        <v>8.6760000000000004E-2</v>
      </c>
      <c r="P44" s="75" t="s">
        <v>133</v>
      </c>
      <c r="Z44" s="42">
        <f>IF(AQ44="5",BJ44,0)</f>
        <v>0</v>
      </c>
      <c r="AB44" s="42">
        <f>IF(AQ44="1",BH44,0)</f>
        <v>0</v>
      </c>
      <c r="AC44" s="42">
        <f>IF(AQ44="1",BI44,0)</f>
        <v>0</v>
      </c>
      <c r="AD44" s="42">
        <f>IF(AQ44="7",BH44,0)</f>
        <v>0</v>
      </c>
      <c r="AE44" s="42">
        <f>IF(AQ44="7",BI44,0)</f>
        <v>0</v>
      </c>
      <c r="AF44" s="42">
        <f>IF(AQ44="2",BH44,0)</f>
        <v>0</v>
      </c>
      <c r="AG44" s="42">
        <f>IF(AQ44="2",BI44,0)</f>
        <v>0</v>
      </c>
      <c r="AH44" s="42">
        <f>IF(AQ44="0",BJ44,0)</f>
        <v>0</v>
      </c>
      <c r="AI44" s="55" t="s">
        <v>4</v>
      </c>
      <c r="AJ44" s="42">
        <f>IF(AN44=0,L44,0)</f>
        <v>0</v>
      </c>
      <c r="AK44" s="42">
        <f>IF(AN44=12,L44,0)</f>
        <v>0</v>
      </c>
      <c r="AL44" s="42">
        <f>IF(AN44=21,L44,0)</f>
        <v>0</v>
      </c>
      <c r="AN44" s="42">
        <v>21</v>
      </c>
      <c r="AO44" s="42">
        <f>H44*0.195585859</f>
        <v>0</v>
      </c>
      <c r="AP44" s="42">
        <f>H44*(1-0.195585859)</f>
        <v>0</v>
      </c>
      <c r="AQ44" s="74" t="s">
        <v>128</v>
      </c>
      <c r="AV44" s="42">
        <f>AW44+AX44</f>
        <v>0</v>
      </c>
      <c r="AW44" s="42">
        <f>G44*AO44</f>
        <v>0</v>
      </c>
      <c r="AX44" s="42">
        <f>G44*AP44</f>
        <v>0</v>
      </c>
      <c r="AY44" s="74" t="s">
        <v>159</v>
      </c>
      <c r="AZ44" s="74" t="s">
        <v>151</v>
      </c>
      <c r="BA44" s="55" t="s">
        <v>136</v>
      </c>
      <c r="BC44" s="42">
        <f>AW44+AX44</f>
        <v>0</v>
      </c>
      <c r="BD44" s="42">
        <f>H44/(100-BE44)*100</f>
        <v>0</v>
      </c>
      <c r="BE44" s="42">
        <v>0</v>
      </c>
      <c r="BF44" s="42">
        <f>O44</f>
        <v>8.6760000000000004E-2</v>
      </c>
      <c r="BH44" s="42">
        <f>G44*AO44</f>
        <v>0</v>
      </c>
      <c r="BI44" s="42">
        <f>G44*AP44</f>
        <v>0</v>
      </c>
      <c r="BJ44" s="42">
        <f>G44*H44</f>
        <v>0</v>
      </c>
      <c r="BK44" s="42"/>
      <c r="BL44" s="42">
        <v>64</v>
      </c>
      <c r="BW44" s="42" t="str">
        <f>I44</f>
        <v>21</v>
      </c>
      <c r="BX44" s="3" t="s">
        <v>176</v>
      </c>
    </row>
    <row r="45" spans="1:76">
      <c r="A45" s="76"/>
      <c r="D45" s="77" t="s">
        <v>128</v>
      </c>
      <c r="E45" s="77" t="s">
        <v>187</v>
      </c>
      <c r="G45" s="78">
        <v>1</v>
      </c>
      <c r="P45" s="79"/>
    </row>
    <row r="46" spans="1:76">
      <c r="A46" s="1" t="s">
        <v>188</v>
      </c>
      <c r="B46" s="2" t="s">
        <v>4</v>
      </c>
      <c r="C46" s="2" t="s">
        <v>189</v>
      </c>
      <c r="D46" s="93" t="s">
        <v>190</v>
      </c>
      <c r="E46" s="90"/>
      <c r="F46" s="2" t="s">
        <v>131</v>
      </c>
      <c r="G46" s="42">
        <v>1</v>
      </c>
      <c r="H46" s="343"/>
      <c r="I46" s="74" t="s">
        <v>132</v>
      </c>
      <c r="J46" s="42">
        <f>G46*AO46</f>
        <v>0</v>
      </c>
      <c r="K46" s="42">
        <f>G46*AP46</f>
        <v>0</v>
      </c>
      <c r="L46" s="42">
        <f>G46*H46</f>
        <v>0</v>
      </c>
      <c r="M46" s="42">
        <f>L46*(1+BW46/100)</f>
        <v>0</v>
      </c>
      <c r="N46" s="42">
        <v>0.115</v>
      </c>
      <c r="O46" s="42">
        <f>G46*N46</f>
        <v>0.115</v>
      </c>
      <c r="P46" s="75" t="s">
        <v>164</v>
      </c>
      <c r="Z46" s="42">
        <f>IF(AQ46="5",BJ46,0)</f>
        <v>0</v>
      </c>
      <c r="AB46" s="42">
        <f>IF(AQ46="1",BH46,0)</f>
        <v>0</v>
      </c>
      <c r="AC46" s="42">
        <f>IF(AQ46="1",BI46,0)</f>
        <v>0</v>
      </c>
      <c r="AD46" s="42">
        <f>IF(AQ46="7",BH46,0)</f>
        <v>0</v>
      </c>
      <c r="AE46" s="42">
        <f>IF(AQ46="7",BI46,0)</f>
        <v>0</v>
      </c>
      <c r="AF46" s="42">
        <f>IF(AQ46="2",BH46,0)</f>
        <v>0</v>
      </c>
      <c r="AG46" s="42">
        <f>IF(AQ46="2",BI46,0)</f>
        <v>0</v>
      </c>
      <c r="AH46" s="42">
        <f>IF(AQ46="0",BJ46,0)</f>
        <v>0</v>
      </c>
      <c r="AI46" s="55" t="s">
        <v>4</v>
      </c>
      <c r="AJ46" s="42">
        <f>IF(AN46=0,L46,0)</f>
        <v>0</v>
      </c>
      <c r="AK46" s="42">
        <f>IF(AN46=12,L46,0)</f>
        <v>0</v>
      </c>
      <c r="AL46" s="42">
        <f>IF(AN46=21,L46,0)</f>
        <v>0</v>
      </c>
      <c r="AN46" s="42">
        <v>21</v>
      </c>
      <c r="AO46" s="42">
        <f>H46*1</f>
        <v>0</v>
      </c>
      <c r="AP46" s="42">
        <f>H46*(1-1)</f>
        <v>0</v>
      </c>
      <c r="AQ46" s="74" t="s">
        <v>128</v>
      </c>
      <c r="AV46" s="42">
        <f>AW46+AX46</f>
        <v>0</v>
      </c>
      <c r="AW46" s="42">
        <f>G46*AO46</f>
        <v>0</v>
      </c>
      <c r="AX46" s="42">
        <f>G46*AP46</f>
        <v>0</v>
      </c>
      <c r="AY46" s="74" t="s">
        <v>159</v>
      </c>
      <c r="AZ46" s="74" t="s">
        <v>151</v>
      </c>
      <c r="BA46" s="55" t="s">
        <v>136</v>
      </c>
      <c r="BC46" s="42">
        <f>AW46+AX46</f>
        <v>0</v>
      </c>
      <c r="BD46" s="42">
        <f>H46/(100-BE46)*100</f>
        <v>0</v>
      </c>
      <c r="BE46" s="42">
        <v>0</v>
      </c>
      <c r="BF46" s="42">
        <f>O46</f>
        <v>0.115</v>
      </c>
      <c r="BH46" s="42">
        <f>G46*AO46</f>
        <v>0</v>
      </c>
      <c r="BI46" s="42">
        <f>G46*AP46</f>
        <v>0</v>
      </c>
      <c r="BJ46" s="42">
        <f>G46*H46</f>
        <v>0</v>
      </c>
      <c r="BK46" s="42"/>
      <c r="BL46" s="42">
        <v>64</v>
      </c>
      <c r="BW46" s="42" t="str">
        <f>I46</f>
        <v>21</v>
      </c>
      <c r="BX46" s="3" t="s">
        <v>190</v>
      </c>
    </row>
    <row r="47" spans="1:76">
      <c r="A47" s="76"/>
      <c r="D47" s="77" t="s">
        <v>128</v>
      </c>
      <c r="E47" s="77" t="s">
        <v>187</v>
      </c>
      <c r="G47" s="78">
        <v>1</v>
      </c>
      <c r="P47" s="79"/>
    </row>
    <row r="48" spans="1:76">
      <c r="A48" s="1" t="s">
        <v>191</v>
      </c>
      <c r="B48" s="2" t="s">
        <v>4</v>
      </c>
      <c r="C48" s="2" t="s">
        <v>175</v>
      </c>
      <c r="D48" s="93" t="s">
        <v>176</v>
      </c>
      <c r="E48" s="90"/>
      <c r="F48" s="2" t="s">
        <v>131</v>
      </c>
      <c r="G48" s="42">
        <v>1</v>
      </c>
      <c r="H48" s="343"/>
      <c r="I48" s="74" t="s">
        <v>132</v>
      </c>
      <c r="J48" s="42">
        <f>G48*AO48</f>
        <v>0</v>
      </c>
      <c r="K48" s="42">
        <f>G48*AP48</f>
        <v>0</v>
      </c>
      <c r="L48" s="42">
        <f>G48*H48</f>
        <v>0</v>
      </c>
      <c r="M48" s="42">
        <f>L48*(1+BW48/100)</f>
        <v>0</v>
      </c>
      <c r="N48" s="42">
        <v>8.6760000000000004E-2</v>
      </c>
      <c r="O48" s="42">
        <f>G48*N48</f>
        <v>8.6760000000000004E-2</v>
      </c>
      <c r="P48" s="75" t="s">
        <v>133</v>
      </c>
      <c r="Z48" s="42">
        <f>IF(AQ48="5",BJ48,0)</f>
        <v>0</v>
      </c>
      <c r="AB48" s="42">
        <f>IF(AQ48="1",BH48,0)</f>
        <v>0</v>
      </c>
      <c r="AC48" s="42">
        <f>IF(AQ48="1",BI48,0)</f>
        <v>0</v>
      </c>
      <c r="AD48" s="42">
        <f>IF(AQ48="7",BH48,0)</f>
        <v>0</v>
      </c>
      <c r="AE48" s="42">
        <f>IF(AQ48="7",BI48,0)</f>
        <v>0</v>
      </c>
      <c r="AF48" s="42">
        <f>IF(AQ48="2",BH48,0)</f>
        <v>0</v>
      </c>
      <c r="AG48" s="42">
        <f>IF(AQ48="2",BI48,0)</f>
        <v>0</v>
      </c>
      <c r="AH48" s="42">
        <f>IF(AQ48="0",BJ48,0)</f>
        <v>0</v>
      </c>
      <c r="AI48" s="55" t="s">
        <v>4</v>
      </c>
      <c r="AJ48" s="42">
        <f>IF(AN48=0,L48,0)</f>
        <v>0</v>
      </c>
      <c r="AK48" s="42">
        <f>IF(AN48=12,L48,0)</f>
        <v>0</v>
      </c>
      <c r="AL48" s="42">
        <f>IF(AN48=21,L48,0)</f>
        <v>0</v>
      </c>
      <c r="AN48" s="42">
        <v>21</v>
      </c>
      <c r="AO48" s="42">
        <f>H48*0.195585859</f>
        <v>0</v>
      </c>
      <c r="AP48" s="42">
        <f>H48*(1-0.195585859)</f>
        <v>0</v>
      </c>
      <c r="AQ48" s="74" t="s">
        <v>128</v>
      </c>
      <c r="AV48" s="42">
        <f>AW48+AX48</f>
        <v>0</v>
      </c>
      <c r="AW48" s="42">
        <f>G48*AO48</f>
        <v>0</v>
      </c>
      <c r="AX48" s="42">
        <f>G48*AP48</f>
        <v>0</v>
      </c>
      <c r="AY48" s="74" t="s">
        <v>159</v>
      </c>
      <c r="AZ48" s="74" t="s">
        <v>151</v>
      </c>
      <c r="BA48" s="55" t="s">
        <v>136</v>
      </c>
      <c r="BC48" s="42">
        <f>AW48+AX48</f>
        <v>0</v>
      </c>
      <c r="BD48" s="42">
        <f>H48/(100-BE48)*100</f>
        <v>0</v>
      </c>
      <c r="BE48" s="42">
        <v>0</v>
      </c>
      <c r="BF48" s="42">
        <f>O48</f>
        <v>8.6760000000000004E-2</v>
      </c>
      <c r="BH48" s="42">
        <f>G48*AO48</f>
        <v>0</v>
      </c>
      <c r="BI48" s="42">
        <f>G48*AP48</f>
        <v>0</v>
      </c>
      <c r="BJ48" s="42">
        <f>G48*H48</f>
        <v>0</v>
      </c>
      <c r="BK48" s="42"/>
      <c r="BL48" s="42">
        <v>64</v>
      </c>
      <c r="BW48" s="42" t="str">
        <f>I48</f>
        <v>21</v>
      </c>
      <c r="BX48" s="3" t="s">
        <v>176</v>
      </c>
    </row>
    <row r="49" spans="1:76">
      <c r="A49" s="76"/>
      <c r="D49" s="77" t="s">
        <v>128</v>
      </c>
      <c r="E49" s="77" t="s">
        <v>192</v>
      </c>
      <c r="G49" s="78">
        <v>1</v>
      </c>
      <c r="P49" s="79"/>
    </row>
    <row r="50" spans="1:76">
      <c r="A50" s="1" t="s">
        <v>193</v>
      </c>
      <c r="B50" s="2" t="s">
        <v>4</v>
      </c>
      <c r="C50" s="2" t="s">
        <v>194</v>
      </c>
      <c r="D50" s="93" t="s">
        <v>195</v>
      </c>
      <c r="E50" s="90"/>
      <c r="F50" s="2" t="s">
        <v>131</v>
      </c>
      <c r="G50" s="42">
        <v>1</v>
      </c>
      <c r="H50" s="343"/>
      <c r="I50" s="74" t="s">
        <v>132</v>
      </c>
      <c r="J50" s="42">
        <f>G50*AO50</f>
        <v>0</v>
      </c>
      <c r="K50" s="42">
        <f>G50*AP50</f>
        <v>0</v>
      </c>
      <c r="L50" s="42">
        <f>G50*H50</f>
        <v>0</v>
      </c>
      <c r="M50" s="42">
        <f>L50*(1+BW50/100)</f>
        <v>0</v>
      </c>
      <c r="N50" s="42">
        <v>9.5000000000000001E-2</v>
      </c>
      <c r="O50" s="42">
        <f>G50*N50</f>
        <v>9.5000000000000001E-2</v>
      </c>
      <c r="P50" s="75" t="s">
        <v>4</v>
      </c>
      <c r="Z50" s="42">
        <f>IF(AQ50="5",BJ50,0)</f>
        <v>0</v>
      </c>
      <c r="AB50" s="42">
        <f>IF(AQ50="1",BH50,0)</f>
        <v>0</v>
      </c>
      <c r="AC50" s="42">
        <f>IF(AQ50="1",BI50,0)</f>
        <v>0</v>
      </c>
      <c r="AD50" s="42">
        <f>IF(AQ50="7",BH50,0)</f>
        <v>0</v>
      </c>
      <c r="AE50" s="42">
        <f>IF(AQ50="7",BI50,0)</f>
        <v>0</v>
      </c>
      <c r="AF50" s="42">
        <f>IF(AQ50="2",BH50,0)</f>
        <v>0</v>
      </c>
      <c r="AG50" s="42">
        <f>IF(AQ50="2",BI50,0)</f>
        <v>0</v>
      </c>
      <c r="AH50" s="42">
        <f>IF(AQ50="0",BJ50,0)</f>
        <v>0</v>
      </c>
      <c r="AI50" s="55" t="s">
        <v>4</v>
      </c>
      <c r="AJ50" s="42">
        <f>IF(AN50=0,L50,0)</f>
        <v>0</v>
      </c>
      <c r="AK50" s="42">
        <f>IF(AN50=12,L50,0)</f>
        <v>0</v>
      </c>
      <c r="AL50" s="42">
        <f>IF(AN50=21,L50,0)</f>
        <v>0</v>
      </c>
      <c r="AN50" s="42">
        <v>21</v>
      </c>
      <c r="AO50" s="42">
        <f>H50*1</f>
        <v>0</v>
      </c>
      <c r="AP50" s="42">
        <f>H50*(1-1)</f>
        <v>0</v>
      </c>
      <c r="AQ50" s="74" t="s">
        <v>128</v>
      </c>
      <c r="AV50" s="42">
        <f>AW50+AX50</f>
        <v>0</v>
      </c>
      <c r="AW50" s="42">
        <f>G50*AO50</f>
        <v>0</v>
      </c>
      <c r="AX50" s="42">
        <f>G50*AP50</f>
        <v>0</v>
      </c>
      <c r="AY50" s="74" t="s">
        <v>159</v>
      </c>
      <c r="AZ50" s="74" t="s">
        <v>151</v>
      </c>
      <c r="BA50" s="55" t="s">
        <v>136</v>
      </c>
      <c r="BC50" s="42">
        <f>AW50+AX50</f>
        <v>0</v>
      </c>
      <c r="BD50" s="42">
        <f>H50/(100-BE50)*100</f>
        <v>0</v>
      </c>
      <c r="BE50" s="42">
        <v>0</v>
      </c>
      <c r="BF50" s="42">
        <f>O50</f>
        <v>9.5000000000000001E-2</v>
      </c>
      <c r="BH50" s="42">
        <f>G50*AO50</f>
        <v>0</v>
      </c>
      <c r="BI50" s="42">
        <f>G50*AP50</f>
        <v>0</v>
      </c>
      <c r="BJ50" s="42">
        <f>G50*H50</f>
        <v>0</v>
      </c>
      <c r="BK50" s="42"/>
      <c r="BL50" s="42">
        <v>64</v>
      </c>
      <c r="BW50" s="42" t="str">
        <f>I50</f>
        <v>21</v>
      </c>
      <c r="BX50" s="3" t="s">
        <v>195</v>
      </c>
    </row>
    <row r="51" spans="1:76">
      <c r="A51" s="76"/>
      <c r="D51" s="77" t="s">
        <v>128</v>
      </c>
      <c r="E51" s="77" t="s">
        <v>192</v>
      </c>
      <c r="G51" s="78">
        <v>1</v>
      </c>
      <c r="P51" s="79"/>
    </row>
    <row r="52" spans="1:76">
      <c r="A52" s="1" t="s">
        <v>196</v>
      </c>
      <c r="B52" s="2" t="s">
        <v>4</v>
      </c>
      <c r="C52" s="2" t="s">
        <v>175</v>
      </c>
      <c r="D52" s="93" t="s">
        <v>176</v>
      </c>
      <c r="E52" s="90"/>
      <c r="F52" s="2" t="s">
        <v>131</v>
      </c>
      <c r="G52" s="42">
        <v>1</v>
      </c>
      <c r="H52" s="343"/>
      <c r="I52" s="74" t="s">
        <v>132</v>
      </c>
      <c r="J52" s="42">
        <f>G52*AO52</f>
        <v>0</v>
      </c>
      <c r="K52" s="42">
        <f>G52*AP52</f>
        <v>0</v>
      </c>
      <c r="L52" s="42">
        <f>G52*H52</f>
        <v>0</v>
      </c>
      <c r="M52" s="42">
        <f>L52*(1+BW52/100)</f>
        <v>0</v>
      </c>
      <c r="N52" s="42">
        <v>8.6760000000000004E-2</v>
      </c>
      <c r="O52" s="42">
        <f>G52*N52</f>
        <v>8.6760000000000004E-2</v>
      </c>
      <c r="P52" s="75" t="s">
        <v>133</v>
      </c>
      <c r="Z52" s="42">
        <f>IF(AQ52="5",BJ52,0)</f>
        <v>0</v>
      </c>
      <c r="AB52" s="42">
        <f>IF(AQ52="1",BH52,0)</f>
        <v>0</v>
      </c>
      <c r="AC52" s="42">
        <f>IF(AQ52="1",BI52,0)</f>
        <v>0</v>
      </c>
      <c r="AD52" s="42">
        <f>IF(AQ52="7",BH52,0)</f>
        <v>0</v>
      </c>
      <c r="AE52" s="42">
        <f>IF(AQ52="7",BI52,0)</f>
        <v>0</v>
      </c>
      <c r="AF52" s="42">
        <f>IF(AQ52="2",BH52,0)</f>
        <v>0</v>
      </c>
      <c r="AG52" s="42">
        <f>IF(AQ52="2",BI52,0)</f>
        <v>0</v>
      </c>
      <c r="AH52" s="42">
        <f>IF(AQ52="0",BJ52,0)</f>
        <v>0</v>
      </c>
      <c r="AI52" s="55" t="s">
        <v>4</v>
      </c>
      <c r="AJ52" s="42">
        <f>IF(AN52=0,L52,0)</f>
        <v>0</v>
      </c>
      <c r="AK52" s="42">
        <f>IF(AN52=12,L52,0)</f>
        <v>0</v>
      </c>
      <c r="AL52" s="42">
        <f>IF(AN52=21,L52,0)</f>
        <v>0</v>
      </c>
      <c r="AN52" s="42">
        <v>21</v>
      </c>
      <c r="AO52" s="42">
        <f>H52*0.195585859</f>
        <v>0</v>
      </c>
      <c r="AP52" s="42">
        <f>H52*(1-0.195585859)</f>
        <v>0</v>
      </c>
      <c r="AQ52" s="74" t="s">
        <v>128</v>
      </c>
      <c r="AV52" s="42">
        <f>AW52+AX52</f>
        <v>0</v>
      </c>
      <c r="AW52" s="42">
        <f>G52*AO52</f>
        <v>0</v>
      </c>
      <c r="AX52" s="42">
        <f>G52*AP52</f>
        <v>0</v>
      </c>
      <c r="AY52" s="74" t="s">
        <v>159</v>
      </c>
      <c r="AZ52" s="74" t="s">
        <v>151</v>
      </c>
      <c r="BA52" s="55" t="s">
        <v>136</v>
      </c>
      <c r="BC52" s="42">
        <f>AW52+AX52</f>
        <v>0</v>
      </c>
      <c r="BD52" s="42">
        <f>H52/(100-BE52)*100</f>
        <v>0</v>
      </c>
      <c r="BE52" s="42">
        <v>0</v>
      </c>
      <c r="BF52" s="42">
        <f>O52</f>
        <v>8.6760000000000004E-2</v>
      </c>
      <c r="BH52" s="42">
        <f>G52*AO52</f>
        <v>0</v>
      </c>
      <c r="BI52" s="42">
        <f>G52*AP52</f>
        <v>0</v>
      </c>
      <c r="BJ52" s="42">
        <f>G52*H52</f>
        <v>0</v>
      </c>
      <c r="BK52" s="42"/>
      <c r="BL52" s="42">
        <v>64</v>
      </c>
      <c r="BW52" s="42" t="str">
        <f>I52</f>
        <v>21</v>
      </c>
      <c r="BX52" s="3" t="s">
        <v>176</v>
      </c>
    </row>
    <row r="53" spans="1:76">
      <c r="A53" s="76"/>
      <c r="D53" s="77" t="s">
        <v>128</v>
      </c>
      <c r="E53" s="77" t="s">
        <v>197</v>
      </c>
      <c r="G53" s="78">
        <v>1</v>
      </c>
      <c r="P53" s="79"/>
    </row>
    <row r="54" spans="1:76">
      <c r="A54" s="1" t="s">
        <v>198</v>
      </c>
      <c r="B54" s="2" t="s">
        <v>4</v>
      </c>
      <c r="C54" s="2" t="s">
        <v>199</v>
      </c>
      <c r="D54" s="93" t="s">
        <v>200</v>
      </c>
      <c r="E54" s="90"/>
      <c r="F54" s="2" t="s">
        <v>131</v>
      </c>
      <c r="G54" s="42">
        <v>1</v>
      </c>
      <c r="H54" s="343"/>
      <c r="I54" s="74" t="s">
        <v>132</v>
      </c>
      <c r="J54" s="42">
        <f>G54*AO54</f>
        <v>0</v>
      </c>
      <c r="K54" s="42">
        <f>G54*AP54</f>
        <v>0</v>
      </c>
      <c r="L54" s="42">
        <f>G54*H54</f>
        <v>0</v>
      </c>
      <c r="M54" s="42">
        <f>L54*(1+BW54/100)</f>
        <v>0</v>
      </c>
      <c r="N54" s="42">
        <v>1.9699999999999999E-2</v>
      </c>
      <c r="O54" s="42">
        <f>G54*N54</f>
        <v>1.9699999999999999E-2</v>
      </c>
      <c r="P54" s="75" t="s">
        <v>164</v>
      </c>
      <c r="Z54" s="42">
        <f>IF(AQ54="5",BJ54,0)</f>
        <v>0</v>
      </c>
      <c r="AB54" s="42">
        <f>IF(AQ54="1",BH54,0)</f>
        <v>0</v>
      </c>
      <c r="AC54" s="42">
        <f>IF(AQ54="1",BI54,0)</f>
        <v>0</v>
      </c>
      <c r="AD54" s="42">
        <f>IF(AQ54="7",BH54,0)</f>
        <v>0</v>
      </c>
      <c r="AE54" s="42">
        <f>IF(AQ54="7",BI54,0)</f>
        <v>0</v>
      </c>
      <c r="AF54" s="42">
        <f>IF(AQ54="2",BH54,0)</f>
        <v>0</v>
      </c>
      <c r="AG54" s="42">
        <f>IF(AQ54="2",BI54,0)</f>
        <v>0</v>
      </c>
      <c r="AH54" s="42">
        <f>IF(AQ54="0",BJ54,0)</f>
        <v>0</v>
      </c>
      <c r="AI54" s="55" t="s">
        <v>4</v>
      </c>
      <c r="AJ54" s="42">
        <f>IF(AN54=0,L54,0)</f>
        <v>0</v>
      </c>
      <c r="AK54" s="42">
        <f>IF(AN54=12,L54,0)</f>
        <v>0</v>
      </c>
      <c r="AL54" s="42">
        <f>IF(AN54=21,L54,0)</f>
        <v>0</v>
      </c>
      <c r="AN54" s="42">
        <v>21</v>
      </c>
      <c r="AO54" s="42">
        <f>H54*1</f>
        <v>0</v>
      </c>
      <c r="AP54" s="42">
        <f>H54*(1-1)</f>
        <v>0</v>
      </c>
      <c r="AQ54" s="74" t="s">
        <v>128</v>
      </c>
      <c r="AV54" s="42">
        <f>AW54+AX54</f>
        <v>0</v>
      </c>
      <c r="AW54" s="42">
        <f>G54*AO54</f>
        <v>0</v>
      </c>
      <c r="AX54" s="42">
        <f>G54*AP54</f>
        <v>0</v>
      </c>
      <c r="AY54" s="74" t="s">
        <v>159</v>
      </c>
      <c r="AZ54" s="74" t="s">
        <v>151</v>
      </c>
      <c r="BA54" s="55" t="s">
        <v>136</v>
      </c>
      <c r="BC54" s="42">
        <f>AW54+AX54</f>
        <v>0</v>
      </c>
      <c r="BD54" s="42">
        <f>H54/(100-BE54)*100</f>
        <v>0</v>
      </c>
      <c r="BE54" s="42">
        <v>0</v>
      </c>
      <c r="BF54" s="42">
        <f>O54</f>
        <v>1.9699999999999999E-2</v>
      </c>
      <c r="BH54" s="42">
        <f>G54*AO54</f>
        <v>0</v>
      </c>
      <c r="BI54" s="42">
        <f>G54*AP54</f>
        <v>0</v>
      </c>
      <c r="BJ54" s="42">
        <f>G54*H54</f>
        <v>0</v>
      </c>
      <c r="BK54" s="42"/>
      <c r="BL54" s="42">
        <v>64</v>
      </c>
      <c r="BW54" s="42" t="str">
        <f>I54</f>
        <v>21</v>
      </c>
      <c r="BX54" s="3" t="s">
        <v>200</v>
      </c>
    </row>
    <row r="55" spans="1:76">
      <c r="A55" s="76"/>
      <c r="D55" s="77" t="s">
        <v>128</v>
      </c>
      <c r="E55" s="77" t="s">
        <v>197</v>
      </c>
      <c r="G55" s="78">
        <v>1</v>
      </c>
      <c r="P55" s="79"/>
    </row>
    <row r="56" spans="1:76">
      <c r="A56" s="1" t="s">
        <v>132</v>
      </c>
      <c r="B56" s="2" t="s">
        <v>4</v>
      </c>
      <c r="C56" s="2" t="s">
        <v>175</v>
      </c>
      <c r="D56" s="93" t="s">
        <v>176</v>
      </c>
      <c r="E56" s="90"/>
      <c r="F56" s="2" t="s">
        <v>131</v>
      </c>
      <c r="G56" s="42">
        <v>1</v>
      </c>
      <c r="H56" s="343"/>
      <c r="I56" s="74" t="s">
        <v>132</v>
      </c>
      <c r="J56" s="42">
        <f>G56*AO56</f>
        <v>0</v>
      </c>
      <c r="K56" s="42">
        <f>G56*AP56</f>
        <v>0</v>
      </c>
      <c r="L56" s="42">
        <f>G56*H56</f>
        <v>0</v>
      </c>
      <c r="M56" s="42">
        <f>L56*(1+BW56/100)</f>
        <v>0</v>
      </c>
      <c r="N56" s="42">
        <v>8.6760000000000004E-2</v>
      </c>
      <c r="O56" s="42">
        <f>G56*N56</f>
        <v>8.6760000000000004E-2</v>
      </c>
      <c r="P56" s="75" t="s">
        <v>133</v>
      </c>
      <c r="Z56" s="42">
        <f>IF(AQ56="5",BJ56,0)</f>
        <v>0</v>
      </c>
      <c r="AB56" s="42">
        <f>IF(AQ56="1",BH56,0)</f>
        <v>0</v>
      </c>
      <c r="AC56" s="42">
        <f>IF(AQ56="1",BI56,0)</f>
        <v>0</v>
      </c>
      <c r="AD56" s="42">
        <f>IF(AQ56="7",BH56,0)</f>
        <v>0</v>
      </c>
      <c r="AE56" s="42">
        <f>IF(AQ56="7",BI56,0)</f>
        <v>0</v>
      </c>
      <c r="AF56" s="42">
        <f>IF(AQ56="2",BH56,0)</f>
        <v>0</v>
      </c>
      <c r="AG56" s="42">
        <f>IF(AQ56="2",BI56,0)</f>
        <v>0</v>
      </c>
      <c r="AH56" s="42">
        <f>IF(AQ56="0",BJ56,0)</f>
        <v>0</v>
      </c>
      <c r="AI56" s="55" t="s">
        <v>4</v>
      </c>
      <c r="AJ56" s="42">
        <f>IF(AN56=0,L56,0)</f>
        <v>0</v>
      </c>
      <c r="AK56" s="42">
        <f>IF(AN56=12,L56,0)</f>
        <v>0</v>
      </c>
      <c r="AL56" s="42">
        <f>IF(AN56=21,L56,0)</f>
        <v>0</v>
      </c>
      <c r="AN56" s="42">
        <v>21</v>
      </c>
      <c r="AO56" s="42">
        <f>H56*0.195585859</f>
        <v>0</v>
      </c>
      <c r="AP56" s="42">
        <f>H56*(1-0.195585859)</f>
        <v>0</v>
      </c>
      <c r="AQ56" s="74" t="s">
        <v>128</v>
      </c>
      <c r="AV56" s="42">
        <f>AW56+AX56</f>
        <v>0</v>
      </c>
      <c r="AW56" s="42">
        <f>G56*AO56</f>
        <v>0</v>
      </c>
      <c r="AX56" s="42">
        <f>G56*AP56</f>
        <v>0</v>
      </c>
      <c r="AY56" s="74" t="s">
        <v>159</v>
      </c>
      <c r="AZ56" s="74" t="s">
        <v>151</v>
      </c>
      <c r="BA56" s="55" t="s">
        <v>136</v>
      </c>
      <c r="BC56" s="42">
        <f>AW56+AX56</f>
        <v>0</v>
      </c>
      <c r="BD56" s="42">
        <f>H56/(100-BE56)*100</f>
        <v>0</v>
      </c>
      <c r="BE56" s="42">
        <v>0</v>
      </c>
      <c r="BF56" s="42">
        <f>O56</f>
        <v>8.6760000000000004E-2</v>
      </c>
      <c r="BH56" s="42">
        <f>G56*AO56</f>
        <v>0</v>
      </c>
      <c r="BI56" s="42">
        <f>G56*AP56</f>
        <v>0</v>
      </c>
      <c r="BJ56" s="42">
        <f>G56*H56</f>
        <v>0</v>
      </c>
      <c r="BK56" s="42"/>
      <c r="BL56" s="42">
        <v>64</v>
      </c>
      <c r="BW56" s="42" t="str">
        <f>I56</f>
        <v>21</v>
      </c>
      <c r="BX56" s="3" t="s">
        <v>176</v>
      </c>
    </row>
    <row r="57" spans="1:76">
      <c r="A57" s="76"/>
      <c r="D57" s="77" t="s">
        <v>128</v>
      </c>
      <c r="E57" s="77" t="s">
        <v>201</v>
      </c>
      <c r="G57" s="78">
        <v>1</v>
      </c>
      <c r="P57" s="79"/>
    </row>
    <row r="58" spans="1:76">
      <c r="A58" s="1" t="s">
        <v>202</v>
      </c>
      <c r="B58" s="2" t="s">
        <v>4</v>
      </c>
      <c r="C58" s="2" t="s">
        <v>203</v>
      </c>
      <c r="D58" s="93" t="s">
        <v>204</v>
      </c>
      <c r="E58" s="90"/>
      <c r="F58" s="2" t="s">
        <v>131</v>
      </c>
      <c r="G58" s="42">
        <v>1</v>
      </c>
      <c r="H58" s="343"/>
      <c r="I58" s="74" t="s">
        <v>132</v>
      </c>
      <c r="J58" s="42">
        <f>G58*AO58</f>
        <v>0</v>
      </c>
      <c r="K58" s="42">
        <f>G58*AP58</f>
        <v>0</v>
      </c>
      <c r="L58" s="42">
        <f>G58*H58</f>
        <v>0</v>
      </c>
      <c r="M58" s="42">
        <f>L58*(1+BW58/100)</f>
        <v>0</v>
      </c>
      <c r="N58" s="42">
        <v>0.19869999999999999</v>
      </c>
      <c r="O58" s="42">
        <f>G58*N58</f>
        <v>0.19869999999999999</v>
      </c>
      <c r="P58" s="75" t="s">
        <v>164</v>
      </c>
      <c r="Z58" s="42">
        <f>IF(AQ58="5",BJ58,0)</f>
        <v>0</v>
      </c>
      <c r="AB58" s="42">
        <f>IF(AQ58="1",BH58,0)</f>
        <v>0</v>
      </c>
      <c r="AC58" s="42">
        <f>IF(AQ58="1",BI58,0)</f>
        <v>0</v>
      </c>
      <c r="AD58" s="42">
        <f>IF(AQ58="7",BH58,0)</f>
        <v>0</v>
      </c>
      <c r="AE58" s="42">
        <f>IF(AQ58="7",BI58,0)</f>
        <v>0</v>
      </c>
      <c r="AF58" s="42">
        <f>IF(AQ58="2",BH58,0)</f>
        <v>0</v>
      </c>
      <c r="AG58" s="42">
        <f>IF(AQ58="2",BI58,0)</f>
        <v>0</v>
      </c>
      <c r="AH58" s="42">
        <f>IF(AQ58="0",BJ58,0)</f>
        <v>0</v>
      </c>
      <c r="AI58" s="55" t="s">
        <v>4</v>
      </c>
      <c r="AJ58" s="42">
        <f>IF(AN58=0,L58,0)</f>
        <v>0</v>
      </c>
      <c r="AK58" s="42">
        <f>IF(AN58=12,L58,0)</f>
        <v>0</v>
      </c>
      <c r="AL58" s="42">
        <f>IF(AN58=21,L58,0)</f>
        <v>0</v>
      </c>
      <c r="AN58" s="42">
        <v>21</v>
      </c>
      <c r="AO58" s="42">
        <f>H58*1</f>
        <v>0</v>
      </c>
      <c r="AP58" s="42">
        <f>H58*(1-1)</f>
        <v>0</v>
      </c>
      <c r="AQ58" s="74" t="s">
        <v>128</v>
      </c>
      <c r="AV58" s="42">
        <f>AW58+AX58</f>
        <v>0</v>
      </c>
      <c r="AW58" s="42">
        <f>G58*AO58</f>
        <v>0</v>
      </c>
      <c r="AX58" s="42">
        <f>G58*AP58</f>
        <v>0</v>
      </c>
      <c r="AY58" s="74" t="s">
        <v>159</v>
      </c>
      <c r="AZ58" s="74" t="s">
        <v>151</v>
      </c>
      <c r="BA58" s="55" t="s">
        <v>136</v>
      </c>
      <c r="BC58" s="42">
        <f>AW58+AX58</f>
        <v>0</v>
      </c>
      <c r="BD58" s="42">
        <f>H58/(100-BE58)*100</f>
        <v>0</v>
      </c>
      <c r="BE58" s="42">
        <v>0</v>
      </c>
      <c r="BF58" s="42">
        <f>O58</f>
        <v>0.19869999999999999</v>
      </c>
      <c r="BH58" s="42">
        <f>G58*AO58</f>
        <v>0</v>
      </c>
      <c r="BI58" s="42">
        <f>G58*AP58</f>
        <v>0</v>
      </c>
      <c r="BJ58" s="42">
        <f>G58*H58</f>
        <v>0</v>
      </c>
      <c r="BK58" s="42"/>
      <c r="BL58" s="42">
        <v>64</v>
      </c>
      <c r="BW58" s="42" t="str">
        <f>I58</f>
        <v>21</v>
      </c>
      <c r="BX58" s="3" t="s">
        <v>204</v>
      </c>
    </row>
    <row r="59" spans="1:76">
      <c r="A59" s="76"/>
      <c r="D59" s="77" t="s">
        <v>128</v>
      </c>
      <c r="E59" s="77" t="s">
        <v>201</v>
      </c>
      <c r="G59" s="78">
        <v>1</v>
      </c>
      <c r="P59" s="79"/>
    </row>
    <row r="60" spans="1:76">
      <c r="A60" s="70" t="s">
        <v>4</v>
      </c>
      <c r="B60" s="71" t="s">
        <v>4</v>
      </c>
      <c r="C60" s="71" t="s">
        <v>205</v>
      </c>
      <c r="D60" s="177" t="s">
        <v>206</v>
      </c>
      <c r="E60" s="178"/>
      <c r="F60" s="72" t="s">
        <v>72</v>
      </c>
      <c r="G60" s="72" t="s">
        <v>72</v>
      </c>
      <c r="H60" s="72" t="s">
        <v>72</v>
      </c>
      <c r="I60" s="72" t="s">
        <v>72</v>
      </c>
      <c r="J60" s="48">
        <f>SUM(J61:J65)</f>
        <v>0</v>
      </c>
      <c r="K60" s="48">
        <f>SUM(K61:K65)</f>
        <v>0</v>
      </c>
      <c r="L60" s="48">
        <f>SUM(L61:L65)</f>
        <v>0</v>
      </c>
      <c r="M60" s="48">
        <f>SUM(M61:M65)</f>
        <v>0</v>
      </c>
      <c r="N60" s="55" t="s">
        <v>4</v>
      </c>
      <c r="O60" s="48">
        <f>SUM(O61:O65)</f>
        <v>7.6039999999999996E-2</v>
      </c>
      <c r="P60" s="73" t="s">
        <v>4</v>
      </c>
      <c r="AI60" s="55" t="s">
        <v>4</v>
      </c>
      <c r="AS60" s="48">
        <f>SUM(AJ61:AJ65)</f>
        <v>0</v>
      </c>
      <c r="AT60" s="48">
        <f>SUM(AK61:AK65)</f>
        <v>0</v>
      </c>
      <c r="AU60" s="48">
        <f>SUM(AL61:AL65)</f>
        <v>0</v>
      </c>
    </row>
    <row r="61" spans="1:76">
      <c r="A61" s="1" t="s">
        <v>207</v>
      </c>
      <c r="B61" s="2" t="s">
        <v>4</v>
      </c>
      <c r="C61" s="2" t="s">
        <v>208</v>
      </c>
      <c r="D61" s="93" t="s">
        <v>209</v>
      </c>
      <c r="E61" s="90"/>
      <c r="F61" s="2" t="s">
        <v>140</v>
      </c>
      <c r="G61" s="42">
        <v>14</v>
      </c>
      <c r="H61" s="343"/>
      <c r="I61" s="74" t="s">
        <v>132</v>
      </c>
      <c r="J61" s="42">
        <f>G61*AO61</f>
        <v>0</v>
      </c>
      <c r="K61" s="42">
        <f>G61*AP61</f>
        <v>0</v>
      </c>
      <c r="L61" s="42">
        <f>G61*H61</f>
        <v>0</v>
      </c>
      <c r="M61" s="42">
        <f>L61*(1+BW61/100)</f>
        <v>0</v>
      </c>
      <c r="N61" s="42">
        <v>1.2099999999999999E-3</v>
      </c>
      <c r="O61" s="42">
        <f>G61*N61</f>
        <v>1.694E-2</v>
      </c>
      <c r="P61" s="75" t="s">
        <v>133</v>
      </c>
      <c r="Z61" s="42">
        <f>IF(AQ61="5",BJ61,0)</f>
        <v>0</v>
      </c>
      <c r="AB61" s="42">
        <f>IF(AQ61="1",BH61,0)</f>
        <v>0</v>
      </c>
      <c r="AC61" s="42">
        <f>IF(AQ61="1",BI61,0)</f>
        <v>0</v>
      </c>
      <c r="AD61" s="42">
        <f>IF(AQ61="7",BH61,0)</f>
        <v>0</v>
      </c>
      <c r="AE61" s="42">
        <f>IF(AQ61="7",BI61,0)</f>
        <v>0</v>
      </c>
      <c r="AF61" s="42">
        <f>IF(AQ61="2",BH61,0)</f>
        <v>0</v>
      </c>
      <c r="AG61" s="42">
        <f>IF(AQ61="2",BI61,0)</f>
        <v>0</v>
      </c>
      <c r="AH61" s="42">
        <f>IF(AQ61="0",BJ61,0)</f>
        <v>0</v>
      </c>
      <c r="AI61" s="55" t="s">
        <v>4</v>
      </c>
      <c r="AJ61" s="42">
        <f>IF(AN61=0,L61,0)</f>
        <v>0</v>
      </c>
      <c r="AK61" s="42">
        <f>IF(AN61=12,L61,0)</f>
        <v>0</v>
      </c>
      <c r="AL61" s="42">
        <f>IF(AN61=21,L61,0)</f>
        <v>0</v>
      </c>
      <c r="AN61" s="42">
        <v>21</v>
      </c>
      <c r="AO61" s="42">
        <f>H61*0.36869258</f>
        <v>0</v>
      </c>
      <c r="AP61" s="42">
        <f>H61*(1-0.36869258)</f>
        <v>0</v>
      </c>
      <c r="AQ61" s="74" t="s">
        <v>128</v>
      </c>
      <c r="AV61" s="42">
        <f>AW61+AX61</f>
        <v>0</v>
      </c>
      <c r="AW61" s="42">
        <f>G61*AO61</f>
        <v>0</v>
      </c>
      <c r="AX61" s="42">
        <f>G61*AP61</f>
        <v>0</v>
      </c>
      <c r="AY61" s="74" t="s">
        <v>210</v>
      </c>
      <c r="AZ61" s="74" t="s">
        <v>211</v>
      </c>
      <c r="BA61" s="55" t="s">
        <v>136</v>
      </c>
      <c r="BC61" s="42">
        <f>AW61+AX61</f>
        <v>0</v>
      </c>
      <c r="BD61" s="42">
        <f>H61/(100-BE61)*100</f>
        <v>0</v>
      </c>
      <c r="BE61" s="42">
        <v>0</v>
      </c>
      <c r="BF61" s="42">
        <f>O61</f>
        <v>1.694E-2</v>
      </c>
      <c r="BH61" s="42">
        <f>G61*AO61</f>
        <v>0</v>
      </c>
      <c r="BI61" s="42">
        <f>G61*AP61</f>
        <v>0</v>
      </c>
      <c r="BJ61" s="42">
        <f>G61*H61</f>
        <v>0</v>
      </c>
      <c r="BK61" s="42"/>
      <c r="BL61" s="42">
        <v>94</v>
      </c>
      <c r="BW61" s="42" t="str">
        <f>I61</f>
        <v>21</v>
      </c>
      <c r="BX61" s="3" t="s">
        <v>209</v>
      </c>
    </row>
    <row r="62" spans="1:76">
      <c r="A62" s="76"/>
      <c r="D62" s="77" t="s">
        <v>212</v>
      </c>
      <c r="E62" s="77" t="s">
        <v>213</v>
      </c>
      <c r="G62" s="78">
        <v>14</v>
      </c>
      <c r="P62" s="79"/>
    </row>
    <row r="63" spans="1:76">
      <c r="A63" s="1" t="s">
        <v>214</v>
      </c>
      <c r="B63" s="2" t="s">
        <v>4</v>
      </c>
      <c r="C63" s="2" t="s">
        <v>215</v>
      </c>
      <c r="D63" s="93" t="s">
        <v>216</v>
      </c>
      <c r="E63" s="90"/>
      <c r="F63" s="2" t="s">
        <v>140</v>
      </c>
      <c r="G63" s="42">
        <v>10</v>
      </c>
      <c r="H63" s="343"/>
      <c r="I63" s="74" t="s">
        <v>132</v>
      </c>
      <c r="J63" s="42">
        <f>G63*AO63</f>
        <v>0</v>
      </c>
      <c r="K63" s="42">
        <f>G63*AP63</f>
        <v>0</v>
      </c>
      <c r="L63" s="42">
        <f>G63*H63</f>
        <v>0</v>
      </c>
      <c r="M63" s="42">
        <f>L63*(1+BW63/100)</f>
        <v>0</v>
      </c>
      <c r="N63" s="42">
        <v>5.9100000000000003E-3</v>
      </c>
      <c r="O63" s="42">
        <f>G63*N63</f>
        <v>5.91E-2</v>
      </c>
      <c r="P63" s="75" t="s">
        <v>133</v>
      </c>
      <c r="Z63" s="42">
        <f>IF(AQ63="5",BJ63,0)</f>
        <v>0</v>
      </c>
      <c r="AB63" s="42">
        <f>IF(AQ63="1",BH63,0)</f>
        <v>0</v>
      </c>
      <c r="AC63" s="42">
        <f>IF(AQ63="1",BI63,0)</f>
        <v>0</v>
      </c>
      <c r="AD63" s="42">
        <f>IF(AQ63="7",BH63,0)</f>
        <v>0</v>
      </c>
      <c r="AE63" s="42">
        <f>IF(AQ63="7",BI63,0)</f>
        <v>0</v>
      </c>
      <c r="AF63" s="42">
        <f>IF(AQ63="2",BH63,0)</f>
        <v>0</v>
      </c>
      <c r="AG63" s="42">
        <f>IF(AQ63="2",BI63,0)</f>
        <v>0</v>
      </c>
      <c r="AH63" s="42">
        <f>IF(AQ63="0",BJ63,0)</f>
        <v>0</v>
      </c>
      <c r="AI63" s="55" t="s">
        <v>4</v>
      </c>
      <c r="AJ63" s="42">
        <f>IF(AN63=0,L63,0)</f>
        <v>0</v>
      </c>
      <c r="AK63" s="42">
        <f>IF(AN63=12,L63,0)</f>
        <v>0</v>
      </c>
      <c r="AL63" s="42">
        <f>IF(AN63=21,L63,0)</f>
        <v>0</v>
      </c>
      <c r="AN63" s="42">
        <v>21</v>
      </c>
      <c r="AO63" s="42">
        <f>H63*0.378797213</f>
        <v>0</v>
      </c>
      <c r="AP63" s="42">
        <f>H63*(1-0.378797213)</f>
        <v>0</v>
      </c>
      <c r="AQ63" s="74" t="s">
        <v>128</v>
      </c>
      <c r="AV63" s="42">
        <f>AW63+AX63</f>
        <v>0</v>
      </c>
      <c r="AW63" s="42">
        <f>G63*AO63</f>
        <v>0</v>
      </c>
      <c r="AX63" s="42">
        <f>G63*AP63</f>
        <v>0</v>
      </c>
      <c r="AY63" s="74" t="s">
        <v>210</v>
      </c>
      <c r="AZ63" s="74" t="s">
        <v>211</v>
      </c>
      <c r="BA63" s="55" t="s">
        <v>136</v>
      </c>
      <c r="BC63" s="42">
        <f>AW63+AX63</f>
        <v>0</v>
      </c>
      <c r="BD63" s="42">
        <f>H63/(100-BE63)*100</f>
        <v>0</v>
      </c>
      <c r="BE63" s="42">
        <v>0</v>
      </c>
      <c r="BF63" s="42">
        <f>O63</f>
        <v>5.91E-2</v>
      </c>
      <c r="BH63" s="42">
        <f>G63*AO63</f>
        <v>0</v>
      </c>
      <c r="BI63" s="42">
        <f>G63*AP63</f>
        <v>0</v>
      </c>
      <c r="BJ63" s="42">
        <f>G63*H63</f>
        <v>0</v>
      </c>
      <c r="BK63" s="42"/>
      <c r="BL63" s="42">
        <v>94</v>
      </c>
      <c r="BW63" s="42" t="str">
        <f>I63</f>
        <v>21</v>
      </c>
      <c r="BX63" s="3" t="s">
        <v>216</v>
      </c>
    </row>
    <row r="64" spans="1:76">
      <c r="A64" s="76"/>
      <c r="D64" s="77" t="s">
        <v>217</v>
      </c>
      <c r="E64" s="77" t="s">
        <v>218</v>
      </c>
      <c r="G64" s="78">
        <v>10</v>
      </c>
      <c r="P64" s="79"/>
    </row>
    <row r="65" spans="1:76">
      <c r="A65" s="1" t="s">
        <v>219</v>
      </c>
      <c r="B65" s="2" t="s">
        <v>4</v>
      </c>
      <c r="C65" s="2" t="s">
        <v>220</v>
      </c>
      <c r="D65" s="93" t="s">
        <v>221</v>
      </c>
      <c r="E65" s="90"/>
      <c r="F65" s="2" t="s">
        <v>222</v>
      </c>
      <c r="G65" s="42">
        <v>2.4865900000000001</v>
      </c>
      <c r="H65" s="343"/>
      <c r="I65" s="74" t="s">
        <v>132</v>
      </c>
      <c r="J65" s="42">
        <f>G65*AO65</f>
        <v>0</v>
      </c>
      <c r="K65" s="42">
        <f>G65*AP65</f>
        <v>0</v>
      </c>
      <c r="L65" s="42">
        <f>G65*H65</f>
        <v>0</v>
      </c>
      <c r="M65" s="42">
        <f>L65*(1+BW65/100)</f>
        <v>0</v>
      </c>
      <c r="N65" s="42">
        <v>0</v>
      </c>
      <c r="O65" s="42">
        <f>G65*N65</f>
        <v>0</v>
      </c>
      <c r="P65" s="75" t="s">
        <v>133</v>
      </c>
      <c r="Z65" s="42">
        <f>IF(AQ65="5",BJ65,0)</f>
        <v>0</v>
      </c>
      <c r="AB65" s="42">
        <f>IF(AQ65="1",BH65,0)</f>
        <v>0</v>
      </c>
      <c r="AC65" s="42">
        <f>IF(AQ65="1",BI65,0)</f>
        <v>0</v>
      </c>
      <c r="AD65" s="42">
        <f>IF(AQ65="7",BH65,0)</f>
        <v>0</v>
      </c>
      <c r="AE65" s="42">
        <f>IF(AQ65="7",BI65,0)</f>
        <v>0</v>
      </c>
      <c r="AF65" s="42">
        <f>IF(AQ65="2",BH65,0)</f>
        <v>0</v>
      </c>
      <c r="AG65" s="42">
        <f>IF(AQ65="2",BI65,0)</f>
        <v>0</v>
      </c>
      <c r="AH65" s="42">
        <f>IF(AQ65="0",BJ65,0)</f>
        <v>0</v>
      </c>
      <c r="AI65" s="55" t="s">
        <v>4</v>
      </c>
      <c r="AJ65" s="42">
        <f>IF(AN65=0,L65,0)</f>
        <v>0</v>
      </c>
      <c r="AK65" s="42">
        <f>IF(AN65=12,L65,0)</f>
        <v>0</v>
      </c>
      <c r="AL65" s="42">
        <f>IF(AN65=21,L65,0)</f>
        <v>0</v>
      </c>
      <c r="AN65" s="42">
        <v>21</v>
      </c>
      <c r="AO65" s="42">
        <f>H65*0</f>
        <v>0</v>
      </c>
      <c r="AP65" s="42">
        <f>H65*(1-0)</f>
        <v>0</v>
      </c>
      <c r="AQ65" s="74" t="s">
        <v>156</v>
      </c>
      <c r="AV65" s="42">
        <f>AW65+AX65</f>
        <v>0</v>
      </c>
      <c r="AW65" s="42">
        <f>G65*AO65</f>
        <v>0</v>
      </c>
      <c r="AX65" s="42">
        <f>G65*AP65</f>
        <v>0</v>
      </c>
      <c r="AY65" s="74" t="s">
        <v>210</v>
      </c>
      <c r="AZ65" s="74" t="s">
        <v>211</v>
      </c>
      <c r="BA65" s="55" t="s">
        <v>136</v>
      </c>
      <c r="BC65" s="42">
        <f>AW65+AX65</f>
        <v>0</v>
      </c>
      <c r="BD65" s="42">
        <f>H65/(100-BE65)*100</f>
        <v>0</v>
      </c>
      <c r="BE65" s="42">
        <v>0</v>
      </c>
      <c r="BF65" s="42">
        <f>O65</f>
        <v>0</v>
      </c>
      <c r="BH65" s="42">
        <f>G65*AO65</f>
        <v>0</v>
      </c>
      <c r="BI65" s="42">
        <f>G65*AP65</f>
        <v>0</v>
      </c>
      <c r="BJ65" s="42">
        <f>G65*H65</f>
        <v>0</v>
      </c>
      <c r="BK65" s="42"/>
      <c r="BL65" s="42">
        <v>94</v>
      </c>
      <c r="BW65" s="42" t="str">
        <f>I65</f>
        <v>21</v>
      </c>
      <c r="BX65" s="3" t="s">
        <v>221</v>
      </c>
    </row>
    <row r="66" spans="1:76">
      <c r="A66" s="70" t="s">
        <v>4</v>
      </c>
      <c r="B66" s="71" t="s">
        <v>4</v>
      </c>
      <c r="C66" s="71" t="s">
        <v>223</v>
      </c>
      <c r="D66" s="177" t="s">
        <v>224</v>
      </c>
      <c r="E66" s="178"/>
      <c r="F66" s="72" t="s">
        <v>72</v>
      </c>
      <c r="G66" s="72" t="s">
        <v>72</v>
      </c>
      <c r="H66" s="72" t="s">
        <v>72</v>
      </c>
      <c r="I66" s="72" t="s">
        <v>72</v>
      </c>
      <c r="J66" s="48">
        <f>SUM(J67:J75)</f>
        <v>0</v>
      </c>
      <c r="K66" s="48">
        <f>SUM(K67:K75)</f>
        <v>0</v>
      </c>
      <c r="L66" s="48">
        <f>SUM(L67:L75)</f>
        <v>0</v>
      </c>
      <c r="M66" s="48">
        <f>SUM(M67:M75)</f>
        <v>0</v>
      </c>
      <c r="N66" s="55" t="s">
        <v>4</v>
      </c>
      <c r="O66" s="48">
        <f>SUM(O67:O75)</f>
        <v>1.0576409</v>
      </c>
      <c r="P66" s="73" t="s">
        <v>4</v>
      </c>
      <c r="AI66" s="55" t="s">
        <v>4</v>
      </c>
      <c r="AS66" s="48">
        <f>SUM(AJ67:AJ75)</f>
        <v>0</v>
      </c>
      <c r="AT66" s="48">
        <f>SUM(AK67:AK75)</f>
        <v>0</v>
      </c>
      <c r="AU66" s="48">
        <f>SUM(AL67:AL75)</f>
        <v>0</v>
      </c>
    </row>
    <row r="67" spans="1:76">
      <c r="A67" s="1" t="s">
        <v>225</v>
      </c>
      <c r="B67" s="2" t="s">
        <v>4</v>
      </c>
      <c r="C67" s="2" t="s">
        <v>226</v>
      </c>
      <c r="D67" s="93" t="s">
        <v>227</v>
      </c>
      <c r="E67" s="90"/>
      <c r="F67" s="2" t="s">
        <v>131</v>
      </c>
      <c r="G67" s="42">
        <v>2</v>
      </c>
      <c r="H67" s="343"/>
      <c r="I67" s="74" t="s">
        <v>132</v>
      </c>
      <c r="J67" s="42">
        <f>G67*AO67</f>
        <v>0</v>
      </c>
      <c r="K67" s="42">
        <f>G67*AP67</f>
        <v>0</v>
      </c>
      <c r="L67" s="42">
        <f>G67*H67</f>
        <v>0</v>
      </c>
      <c r="M67" s="42">
        <f>L67*(1+BW67/100)</f>
        <v>0</v>
      </c>
      <c r="N67" s="42">
        <v>0</v>
      </c>
      <c r="O67" s="42">
        <f>G67*N67</f>
        <v>0</v>
      </c>
      <c r="P67" s="75" t="s">
        <v>133</v>
      </c>
      <c r="Z67" s="42">
        <f>IF(AQ67="5",BJ67,0)</f>
        <v>0</v>
      </c>
      <c r="AB67" s="42">
        <f>IF(AQ67="1",BH67,0)</f>
        <v>0</v>
      </c>
      <c r="AC67" s="42">
        <f>IF(AQ67="1",BI67,0)</f>
        <v>0</v>
      </c>
      <c r="AD67" s="42">
        <f>IF(AQ67="7",BH67,0)</f>
        <v>0</v>
      </c>
      <c r="AE67" s="42">
        <f>IF(AQ67="7",BI67,0)</f>
        <v>0</v>
      </c>
      <c r="AF67" s="42">
        <f>IF(AQ67="2",BH67,0)</f>
        <v>0</v>
      </c>
      <c r="AG67" s="42">
        <f>IF(AQ67="2",BI67,0)</f>
        <v>0</v>
      </c>
      <c r="AH67" s="42">
        <f>IF(AQ67="0",BJ67,0)</f>
        <v>0</v>
      </c>
      <c r="AI67" s="55" t="s">
        <v>4</v>
      </c>
      <c r="AJ67" s="42">
        <f>IF(AN67=0,L67,0)</f>
        <v>0</v>
      </c>
      <c r="AK67" s="42">
        <f>IF(AN67=12,L67,0)</f>
        <v>0</v>
      </c>
      <c r="AL67" s="42">
        <f>IF(AN67=21,L67,0)</f>
        <v>0</v>
      </c>
      <c r="AN67" s="42">
        <v>21</v>
      </c>
      <c r="AO67" s="42">
        <f>H67*0</f>
        <v>0</v>
      </c>
      <c r="AP67" s="42">
        <f>H67*(1-0)</f>
        <v>0</v>
      </c>
      <c r="AQ67" s="74" t="s">
        <v>128</v>
      </c>
      <c r="AV67" s="42">
        <f>AW67+AX67</f>
        <v>0</v>
      </c>
      <c r="AW67" s="42">
        <f>G67*AO67</f>
        <v>0</v>
      </c>
      <c r="AX67" s="42">
        <f>G67*AP67</f>
        <v>0</v>
      </c>
      <c r="AY67" s="74" t="s">
        <v>228</v>
      </c>
      <c r="AZ67" s="74" t="s">
        <v>211</v>
      </c>
      <c r="BA67" s="55" t="s">
        <v>136</v>
      </c>
      <c r="BC67" s="42">
        <f>AW67+AX67</f>
        <v>0</v>
      </c>
      <c r="BD67" s="42">
        <f>H67/(100-BE67)*100</f>
        <v>0</v>
      </c>
      <c r="BE67" s="42">
        <v>0</v>
      </c>
      <c r="BF67" s="42">
        <f>O67</f>
        <v>0</v>
      </c>
      <c r="BH67" s="42">
        <f>G67*AO67</f>
        <v>0</v>
      </c>
      <c r="BI67" s="42">
        <f>G67*AP67</f>
        <v>0</v>
      </c>
      <c r="BJ67" s="42">
        <f>G67*H67</f>
        <v>0</v>
      </c>
      <c r="BK67" s="42"/>
      <c r="BL67" s="42">
        <v>96</v>
      </c>
      <c r="BW67" s="42" t="str">
        <f>I67</f>
        <v>21</v>
      </c>
      <c r="BX67" s="3" t="s">
        <v>227</v>
      </c>
    </row>
    <row r="68" spans="1:76">
      <c r="A68" s="76"/>
      <c r="D68" s="77" t="s">
        <v>137</v>
      </c>
      <c r="E68" s="77" t="s">
        <v>229</v>
      </c>
      <c r="G68" s="78">
        <v>2</v>
      </c>
      <c r="P68" s="79"/>
    </row>
    <row r="69" spans="1:76">
      <c r="A69" s="1" t="s">
        <v>230</v>
      </c>
      <c r="B69" s="2" t="s">
        <v>4</v>
      </c>
      <c r="C69" s="2" t="s">
        <v>231</v>
      </c>
      <c r="D69" s="93" t="s">
        <v>232</v>
      </c>
      <c r="E69" s="90"/>
      <c r="F69" s="2" t="s">
        <v>131</v>
      </c>
      <c r="G69" s="42">
        <v>7</v>
      </c>
      <c r="H69" s="343"/>
      <c r="I69" s="74" t="s">
        <v>132</v>
      </c>
      <c r="J69" s="42">
        <f>G69*AO69</f>
        <v>0</v>
      </c>
      <c r="K69" s="42">
        <f>G69*AP69</f>
        <v>0</v>
      </c>
      <c r="L69" s="42">
        <f>G69*H69</f>
        <v>0</v>
      </c>
      <c r="M69" s="42">
        <f>L69*(1+BW69/100)</f>
        <v>0</v>
      </c>
      <c r="N69" s="42">
        <v>0</v>
      </c>
      <c r="O69" s="42">
        <f>G69*N69</f>
        <v>0</v>
      </c>
      <c r="P69" s="75" t="s">
        <v>133</v>
      </c>
      <c r="Z69" s="42">
        <f>IF(AQ69="5",BJ69,0)</f>
        <v>0</v>
      </c>
      <c r="AB69" s="42">
        <f>IF(AQ69="1",BH69,0)</f>
        <v>0</v>
      </c>
      <c r="AC69" s="42">
        <f>IF(AQ69="1",BI69,0)</f>
        <v>0</v>
      </c>
      <c r="AD69" s="42">
        <f>IF(AQ69="7",BH69,0)</f>
        <v>0</v>
      </c>
      <c r="AE69" s="42">
        <f>IF(AQ69="7",BI69,0)</f>
        <v>0</v>
      </c>
      <c r="AF69" s="42">
        <f>IF(AQ69="2",BH69,0)</f>
        <v>0</v>
      </c>
      <c r="AG69" s="42">
        <f>IF(AQ69="2",BI69,0)</f>
        <v>0</v>
      </c>
      <c r="AH69" s="42">
        <f>IF(AQ69="0",BJ69,0)</f>
        <v>0</v>
      </c>
      <c r="AI69" s="55" t="s">
        <v>4</v>
      </c>
      <c r="AJ69" s="42">
        <f>IF(AN69=0,L69,0)</f>
        <v>0</v>
      </c>
      <c r="AK69" s="42">
        <f>IF(AN69=12,L69,0)</f>
        <v>0</v>
      </c>
      <c r="AL69" s="42">
        <f>IF(AN69=21,L69,0)</f>
        <v>0</v>
      </c>
      <c r="AN69" s="42">
        <v>21</v>
      </c>
      <c r="AO69" s="42">
        <f>H69*0</f>
        <v>0</v>
      </c>
      <c r="AP69" s="42">
        <f>H69*(1-0)</f>
        <v>0</v>
      </c>
      <c r="AQ69" s="74" t="s">
        <v>128</v>
      </c>
      <c r="AV69" s="42">
        <f>AW69+AX69</f>
        <v>0</v>
      </c>
      <c r="AW69" s="42">
        <f>G69*AO69</f>
        <v>0</v>
      </c>
      <c r="AX69" s="42">
        <f>G69*AP69</f>
        <v>0</v>
      </c>
      <c r="AY69" s="74" t="s">
        <v>228</v>
      </c>
      <c r="AZ69" s="74" t="s">
        <v>211</v>
      </c>
      <c r="BA69" s="55" t="s">
        <v>136</v>
      </c>
      <c r="BC69" s="42">
        <f>AW69+AX69</f>
        <v>0</v>
      </c>
      <c r="BD69" s="42">
        <f>H69/(100-BE69)*100</f>
        <v>0</v>
      </c>
      <c r="BE69" s="42">
        <v>0</v>
      </c>
      <c r="BF69" s="42">
        <f>O69</f>
        <v>0</v>
      </c>
      <c r="BH69" s="42">
        <f>G69*AO69</f>
        <v>0</v>
      </c>
      <c r="BI69" s="42">
        <f>G69*AP69</f>
        <v>0</v>
      </c>
      <c r="BJ69" s="42">
        <f>G69*H69</f>
        <v>0</v>
      </c>
      <c r="BK69" s="42"/>
      <c r="BL69" s="42">
        <v>96</v>
      </c>
      <c r="BW69" s="42" t="str">
        <f>I69</f>
        <v>21</v>
      </c>
      <c r="BX69" s="3" t="s">
        <v>232</v>
      </c>
    </row>
    <row r="70" spans="1:76">
      <c r="A70" s="76"/>
      <c r="D70" s="77" t="s">
        <v>233</v>
      </c>
      <c r="E70" s="77" t="s">
        <v>234</v>
      </c>
      <c r="G70" s="78">
        <v>7</v>
      </c>
      <c r="P70" s="79"/>
    </row>
    <row r="71" spans="1:76">
      <c r="A71" s="1" t="s">
        <v>235</v>
      </c>
      <c r="B71" s="2" t="s">
        <v>4</v>
      </c>
      <c r="C71" s="2" t="s">
        <v>236</v>
      </c>
      <c r="D71" s="93" t="s">
        <v>237</v>
      </c>
      <c r="E71" s="90"/>
      <c r="F71" s="2" t="s">
        <v>140</v>
      </c>
      <c r="G71" s="42">
        <v>7.0350000000000001</v>
      </c>
      <c r="H71" s="343"/>
      <c r="I71" s="74" t="s">
        <v>132</v>
      </c>
      <c r="J71" s="42">
        <f>G71*AO71</f>
        <v>0</v>
      </c>
      <c r="K71" s="42">
        <f>G71*AP71</f>
        <v>0</v>
      </c>
      <c r="L71" s="42">
        <f>G71*H71</f>
        <v>0</v>
      </c>
      <c r="M71" s="42">
        <f>L71*(1+BW71/100)</f>
        <v>0</v>
      </c>
      <c r="N71" s="42">
        <v>1.7489999999999999E-2</v>
      </c>
      <c r="O71" s="42">
        <f>G71*N71</f>
        <v>0.12304214999999999</v>
      </c>
      <c r="P71" s="75" t="s">
        <v>133</v>
      </c>
      <c r="Z71" s="42">
        <f>IF(AQ71="5",BJ71,0)</f>
        <v>0</v>
      </c>
      <c r="AB71" s="42">
        <f>IF(AQ71="1",BH71,0)</f>
        <v>0</v>
      </c>
      <c r="AC71" s="42">
        <f>IF(AQ71="1",BI71,0)</f>
        <v>0</v>
      </c>
      <c r="AD71" s="42">
        <f>IF(AQ71="7",BH71,0)</f>
        <v>0</v>
      </c>
      <c r="AE71" s="42">
        <f>IF(AQ71="7",BI71,0)</f>
        <v>0</v>
      </c>
      <c r="AF71" s="42">
        <f>IF(AQ71="2",BH71,0)</f>
        <v>0</v>
      </c>
      <c r="AG71" s="42">
        <f>IF(AQ71="2",BI71,0)</f>
        <v>0</v>
      </c>
      <c r="AH71" s="42">
        <f>IF(AQ71="0",BJ71,0)</f>
        <v>0</v>
      </c>
      <c r="AI71" s="55" t="s">
        <v>4</v>
      </c>
      <c r="AJ71" s="42">
        <f>IF(AN71=0,L71,0)</f>
        <v>0</v>
      </c>
      <c r="AK71" s="42">
        <f>IF(AN71=12,L71,0)</f>
        <v>0</v>
      </c>
      <c r="AL71" s="42">
        <f>IF(AN71=21,L71,0)</f>
        <v>0</v>
      </c>
      <c r="AN71" s="42">
        <v>21</v>
      </c>
      <c r="AO71" s="42">
        <f>H71*0.136680544</f>
        <v>0</v>
      </c>
      <c r="AP71" s="42">
        <f>H71*(1-0.136680544)</f>
        <v>0</v>
      </c>
      <c r="AQ71" s="74" t="s">
        <v>128</v>
      </c>
      <c r="AV71" s="42">
        <f>AW71+AX71</f>
        <v>0</v>
      </c>
      <c r="AW71" s="42">
        <f>G71*AO71</f>
        <v>0</v>
      </c>
      <c r="AX71" s="42">
        <f>G71*AP71</f>
        <v>0</v>
      </c>
      <c r="AY71" s="74" t="s">
        <v>228</v>
      </c>
      <c r="AZ71" s="74" t="s">
        <v>211</v>
      </c>
      <c r="BA71" s="55" t="s">
        <v>136</v>
      </c>
      <c r="BC71" s="42">
        <f>AW71+AX71</f>
        <v>0</v>
      </c>
      <c r="BD71" s="42">
        <f>H71/(100-BE71)*100</f>
        <v>0</v>
      </c>
      <c r="BE71" s="42">
        <v>0</v>
      </c>
      <c r="BF71" s="42">
        <f>O71</f>
        <v>0.12304214999999999</v>
      </c>
      <c r="BH71" s="42">
        <f>G71*AO71</f>
        <v>0</v>
      </c>
      <c r="BI71" s="42">
        <f>G71*AP71</f>
        <v>0</v>
      </c>
      <c r="BJ71" s="42">
        <f>G71*H71</f>
        <v>0</v>
      </c>
      <c r="BK71" s="42"/>
      <c r="BL71" s="42">
        <v>96</v>
      </c>
      <c r="BW71" s="42" t="str">
        <f>I71</f>
        <v>21</v>
      </c>
      <c r="BX71" s="3" t="s">
        <v>237</v>
      </c>
    </row>
    <row r="72" spans="1:76">
      <c r="A72" s="76"/>
      <c r="D72" s="77" t="s">
        <v>238</v>
      </c>
      <c r="E72" s="77" t="s">
        <v>4</v>
      </c>
      <c r="G72" s="78">
        <v>7.0350000000000001</v>
      </c>
      <c r="P72" s="79"/>
    </row>
    <row r="73" spans="1:76">
      <c r="A73" s="1" t="s">
        <v>239</v>
      </c>
      <c r="B73" s="2" t="s">
        <v>4</v>
      </c>
      <c r="C73" s="2" t="s">
        <v>240</v>
      </c>
      <c r="D73" s="93" t="s">
        <v>241</v>
      </c>
      <c r="E73" s="90"/>
      <c r="F73" s="2" t="s">
        <v>140</v>
      </c>
      <c r="G73" s="42">
        <v>11.375</v>
      </c>
      <c r="H73" s="343"/>
      <c r="I73" s="74" t="s">
        <v>132</v>
      </c>
      <c r="J73" s="42">
        <f>G73*AO73</f>
        <v>0</v>
      </c>
      <c r="K73" s="42">
        <f>G73*AP73</f>
        <v>0</v>
      </c>
      <c r="L73" s="42">
        <f>G73*H73</f>
        <v>0</v>
      </c>
      <c r="M73" s="42">
        <f>L73*(1+BW73/100)</f>
        <v>0</v>
      </c>
      <c r="N73" s="42">
        <v>1.549E-2</v>
      </c>
      <c r="O73" s="42">
        <f>G73*N73</f>
        <v>0.17619875000000002</v>
      </c>
      <c r="P73" s="75" t="s">
        <v>133</v>
      </c>
      <c r="Z73" s="42">
        <f>IF(AQ73="5",BJ73,0)</f>
        <v>0</v>
      </c>
      <c r="AB73" s="42">
        <f>IF(AQ73="1",BH73,0)</f>
        <v>0</v>
      </c>
      <c r="AC73" s="42">
        <f>IF(AQ73="1",BI73,0)</f>
        <v>0</v>
      </c>
      <c r="AD73" s="42">
        <f>IF(AQ73="7",BH73,0)</f>
        <v>0</v>
      </c>
      <c r="AE73" s="42">
        <f>IF(AQ73="7",BI73,0)</f>
        <v>0</v>
      </c>
      <c r="AF73" s="42">
        <f>IF(AQ73="2",BH73,0)</f>
        <v>0</v>
      </c>
      <c r="AG73" s="42">
        <f>IF(AQ73="2",BI73,0)</f>
        <v>0</v>
      </c>
      <c r="AH73" s="42">
        <f>IF(AQ73="0",BJ73,0)</f>
        <v>0</v>
      </c>
      <c r="AI73" s="55" t="s">
        <v>4</v>
      </c>
      <c r="AJ73" s="42">
        <f>IF(AN73=0,L73,0)</f>
        <v>0</v>
      </c>
      <c r="AK73" s="42">
        <f>IF(AN73=12,L73,0)</f>
        <v>0</v>
      </c>
      <c r="AL73" s="42">
        <f>IF(AN73=21,L73,0)</f>
        <v>0</v>
      </c>
      <c r="AN73" s="42">
        <v>21</v>
      </c>
      <c r="AO73" s="42">
        <f>H73*0.154783184</f>
        <v>0</v>
      </c>
      <c r="AP73" s="42">
        <f>H73*(1-0.154783184)</f>
        <v>0</v>
      </c>
      <c r="AQ73" s="74" t="s">
        <v>128</v>
      </c>
      <c r="AV73" s="42">
        <f>AW73+AX73</f>
        <v>0</v>
      </c>
      <c r="AW73" s="42">
        <f>G73*AO73</f>
        <v>0</v>
      </c>
      <c r="AX73" s="42">
        <f>G73*AP73</f>
        <v>0</v>
      </c>
      <c r="AY73" s="74" t="s">
        <v>228</v>
      </c>
      <c r="AZ73" s="74" t="s">
        <v>211</v>
      </c>
      <c r="BA73" s="55" t="s">
        <v>136</v>
      </c>
      <c r="BC73" s="42">
        <f>AW73+AX73</f>
        <v>0</v>
      </c>
      <c r="BD73" s="42">
        <f>H73/(100-BE73)*100</f>
        <v>0</v>
      </c>
      <c r="BE73" s="42">
        <v>0</v>
      </c>
      <c r="BF73" s="42">
        <f>O73</f>
        <v>0.17619875000000002</v>
      </c>
      <c r="BH73" s="42">
        <f>G73*AO73</f>
        <v>0</v>
      </c>
      <c r="BI73" s="42">
        <f>G73*AP73</f>
        <v>0</v>
      </c>
      <c r="BJ73" s="42">
        <f>G73*H73</f>
        <v>0</v>
      </c>
      <c r="BK73" s="42"/>
      <c r="BL73" s="42">
        <v>96</v>
      </c>
      <c r="BW73" s="42" t="str">
        <f>I73</f>
        <v>21</v>
      </c>
      <c r="BX73" s="3" t="s">
        <v>241</v>
      </c>
    </row>
    <row r="74" spans="1:76">
      <c r="A74" s="76"/>
      <c r="D74" s="77" t="s">
        <v>242</v>
      </c>
      <c r="E74" s="77" t="s">
        <v>4</v>
      </c>
      <c r="G74" s="78">
        <v>11.375</v>
      </c>
      <c r="P74" s="79"/>
    </row>
    <row r="75" spans="1:76">
      <c r="A75" s="1" t="s">
        <v>243</v>
      </c>
      <c r="B75" s="2" t="s">
        <v>4</v>
      </c>
      <c r="C75" s="2" t="s">
        <v>244</v>
      </c>
      <c r="D75" s="93" t="s">
        <v>245</v>
      </c>
      <c r="E75" s="90"/>
      <c r="F75" s="2" t="s">
        <v>140</v>
      </c>
      <c r="G75" s="42">
        <v>11.85</v>
      </c>
      <c r="H75" s="343"/>
      <c r="I75" s="74" t="s">
        <v>132</v>
      </c>
      <c r="J75" s="42">
        <f>G75*AO75</f>
        <v>0</v>
      </c>
      <c r="K75" s="42">
        <f>G75*AP75</f>
        <v>0</v>
      </c>
      <c r="L75" s="42">
        <f>G75*H75</f>
        <v>0</v>
      </c>
      <c r="M75" s="42">
        <f>L75*(1+BW75/100)</f>
        <v>0</v>
      </c>
      <c r="N75" s="42">
        <v>6.4000000000000001E-2</v>
      </c>
      <c r="O75" s="42">
        <f>G75*N75</f>
        <v>0.75839999999999996</v>
      </c>
      <c r="P75" s="75" t="s">
        <v>133</v>
      </c>
      <c r="Z75" s="42">
        <f>IF(AQ75="5",BJ75,0)</f>
        <v>0</v>
      </c>
      <c r="AB75" s="42">
        <f>IF(AQ75="1",BH75,0)</f>
        <v>0</v>
      </c>
      <c r="AC75" s="42">
        <f>IF(AQ75="1",BI75,0)</f>
        <v>0</v>
      </c>
      <c r="AD75" s="42">
        <f>IF(AQ75="7",BH75,0)</f>
        <v>0</v>
      </c>
      <c r="AE75" s="42">
        <f>IF(AQ75="7",BI75,0)</f>
        <v>0</v>
      </c>
      <c r="AF75" s="42">
        <f>IF(AQ75="2",BH75,0)</f>
        <v>0</v>
      </c>
      <c r="AG75" s="42">
        <f>IF(AQ75="2",BI75,0)</f>
        <v>0</v>
      </c>
      <c r="AH75" s="42">
        <f>IF(AQ75="0",BJ75,0)</f>
        <v>0</v>
      </c>
      <c r="AI75" s="55" t="s">
        <v>4</v>
      </c>
      <c r="AJ75" s="42">
        <f>IF(AN75=0,L75,0)</f>
        <v>0</v>
      </c>
      <c r="AK75" s="42">
        <f>IF(AN75=12,L75,0)</f>
        <v>0</v>
      </c>
      <c r="AL75" s="42">
        <f>IF(AN75=21,L75,0)</f>
        <v>0</v>
      </c>
      <c r="AN75" s="42">
        <v>21</v>
      </c>
      <c r="AO75" s="42">
        <f>H75*0.081251643</f>
        <v>0</v>
      </c>
      <c r="AP75" s="42">
        <f>H75*(1-0.081251643)</f>
        <v>0</v>
      </c>
      <c r="AQ75" s="74" t="s">
        <v>128</v>
      </c>
      <c r="AV75" s="42">
        <f>AW75+AX75</f>
        <v>0</v>
      </c>
      <c r="AW75" s="42">
        <f>G75*AO75</f>
        <v>0</v>
      </c>
      <c r="AX75" s="42">
        <f>G75*AP75</f>
        <v>0</v>
      </c>
      <c r="AY75" s="74" t="s">
        <v>228</v>
      </c>
      <c r="AZ75" s="74" t="s">
        <v>211</v>
      </c>
      <c r="BA75" s="55" t="s">
        <v>136</v>
      </c>
      <c r="BC75" s="42">
        <f>AW75+AX75</f>
        <v>0</v>
      </c>
      <c r="BD75" s="42">
        <f>H75/(100-BE75)*100</f>
        <v>0</v>
      </c>
      <c r="BE75" s="42">
        <v>0</v>
      </c>
      <c r="BF75" s="42">
        <f>O75</f>
        <v>0.75839999999999996</v>
      </c>
      <c r="BH75" s="42">
        <f>G75*AO75</f>
        <v>0</v>
      </c>
      <c r="BI75" s="42">
        <f>G75*AP75</f>
        <v>0</v>
      </c>
      <c r="BJ75" s="42">
        <f>G75*H75</f>
        <v>0</v>
      </c>
      <c r="BK75" s="42"/>
      <c r="BL75" s="42">
        <v>96</v>
      </c>
      <c r="BW75" s="42" t="str">
        <f>I75</f>
        <v>21</v>
      </c>
      <c r="BX75" s="3" t="s">
        <v>245</v>
      </c>
    </row>
    <row r="76" spans="1:76">
      <c r="A76" s="76"/>
      <c r="D76" s="77" t="s">
        <v>246</v>
      </c>
      <c r="E76" s="77" t="s">
        <v>247</v>
      </c>
      <c r="G76" s="78">
        <v>11.85</v>
      </c>
      <c r="P76" s="79"/>
    </row>
    <row r="77" spans="1:76">
      <c r="A77" s="76"/>
      <c r="D77" s="77" t="s">
        <v>248</v>
      </c>
      <c r="E77" s="77" t="s">
        <v>249</v>
      </c>
      <c r="G77" s="78">
        <v>0</v>
      </c>
      <c r="P77" s="79"/>
    </row>
    <row r="78" spans="1:76">
      <c r="A78" s="70" t="s">
        <v>4</v>
      </c>
      <c r="B78" s="71" t="s">
        <v>4</v>
      </c>
      <c r="C78" s="71" t="s">
        <v>250</v>
      </c>
      <c r="D78" s="177" t="s">
        <v>251</v>
      </c>
      <c r="E78" s="178"/>
      <c r="F78" s="72" t="s">
        <v>72</v>
      </c>
      <c r="G78" s="72" t="s">
        <v>72</v>
      </c>
      <c r="H78" s="72" t="s">
        <v>72</v>
      </c>
      <c r="I78" s="72" t="s">
        <v>72</v>
      </c>
      <c r="J78" s="48">
        <f>SUM(J79:J89)</f>
        <v>0</v>
      </c>
      <c r="K78" s="48">
        <f>SUM(K79:K89)</f>
        <v>0</v>
      </c>
      <c r="L78" s="48">
        <f>SUM(L79:L89)</f>
        <v>0</v>
      </c>
      <c r="M78" s="48">
        <f>SUM(M79:M89)</f>
        <v>0</v>
      </c>
      <c r="N78" s="55" t="s">
        <v>4</v>
      </c>
      <c r="O78" s="48">
        <f>SUM(O79:O89)</f>
        <v>0</v>
      </c>
      <c r="P78" s="73" t="s">
        <v>4</v>
      </c>
      <c r="AI78" s="55" t="s">
        <v>4</v>
      </c>
      <c r="AS78" s="48">
        <f>SUM(AJ79:AJ89)</f>
        <v>0</v>
      </c>
      <c r="AT78" s="48">
        <f>SUM(AK79:AK89)</f>
        <v>0</v>
      </c>
      <c r="AU78" s="48">
        <f>SUM(AL79:AL89)</f>
        <v>0</v>
      </c>
    </row>
    <row r="79" spans="1:76">
      <c r="A79" s="1" t="s">
        <v>252</v>
      </c>
      <c r="B79" s="2" t="s">
        <v>4</v>
      </c>
      <c r="C79" s="2" t="s">
        <v>253</v>
      </c>
      <c r="D79" s="93" t="s">
        <v>254</v>
      </c>
      <c r="E79" s="90"/>
      <c r="F79" s="2" t="s">
        <v>222</v>
      </c>
      <c r="G79" s="42">
        <v>0.04</v>
      </c>
      <c r="H79" s="343"/>
      <c r="I79" s="74" t="s">
        <v>132</v>
      </c>
      <c r="J79" s="42">
        <f>G79*AO79</f>
        <v>0</v>
      </c>
      <c r="K79" s="42">
        <f>G79*AP79</f>
        <v>0</v>
      </c>
      <c r="L79" s="42">
        <f>G79*H79</f>
        <v>0</v>
      </c>
      <c r="M79" s="42">
        <f>L79*(1+BW79/100)</f>
        <v>0</v>
      </c>
      <c r="N79" s="42">
        <v>0</v>
      </c>
      <c r="O79" s="42">
        <f>G79*N79</f>
        <v>0</v>
      </c>
      <c r="P79" s="75" t="s">
        <v>133</v>
      </c>
      <c r="Z79" s="42">
        <f>IF(AQ79="5",BJ79,0)</f>
        <v>0</v>
      </c>
      <c r="AB79" s="42">
        <f>IF(AQ79="1",BH79,0)</f>
        <v>0</v>
      </c>
      <c r="AC79" s="42">
        <f>IF(AQ79="1",BI79,0)</f>
        <v>0</v>
      </c>
      <c r="AD79" s="42">
        <f>IF(AQ79="7",BH79,0)</f>
        <v>0</v>
      </c>
      <c r="AE79" s="42">
        <f>IF(AQ79="7",BI79,0)</f>
        <v>0</v>
      </c>
      <c r="AF79" s="42">
        <f>IF(AQ79="2",BH79,0)</f>
        <v>0</v>
      </c>
      <c r="AG79" s="42">
        <f>IF(AQ79="2",BI79,0)</f>
        <v>0</v>
      </c>
      <c r="AH79" s="42">
        <f>IF(AQ79="0",BJ79,0)</f>
        <v>0</v>
      </c>
      <c r="AI79" s="55" t="s">
        <v>4</v>
      </c>
      <c r="AJ79" s="42">
        <f>IF(AN79=0,L79,0)</f>
        <v>0</v>
      </c>
      <c r="AK79" s="42">
        <f>IF(AN79=12,L79,0)</f>
        <v>0</v>
      </c>
      <c r="AL79" s="42">
        <f>IF(AN79=21,L79,0)</f>
        <v>0</v>
      </c>
      <c r="AN79" s="42">
        <v>21</v>
      </c>
      <c r="AO79" s="42">
        <f>H79*0</f>
        <v>0</v>
      </c>
      <c r="AP79" s="42">
        <f>H79*(1-0)</f>
        <v>0</v>
      </c>
      <c r="AQ79" s="74" t="s">
        <v>156</v>
      </c>
      <c r="AV79" s="42">
        <f>AW79+AX79</f>
        <v>0</v>
      </c>
      <c r="AW79" s="42">
        <f>G79*AO79</f>
        <v>0</v>
      </c>
      <c r="AX79" s="42">
        <f>G79*AP79</f>
        <v>0</v>
      </c>
      <c r="AY79" s="74" t="s">
        <v>255</v>
      </c>
      <c r="AZ79" s="74" t="s">
        <v>211</v>
      </c>
      <c r="BA79" s="55" t="s">
        <v>136</v>
      </c>
      <c r="BC79" s="42">
        <f>AW79+AX79</f>
        <v>0</v>
      </c>
      <c r="BD79" s="42">
        <f>H79/(100-BE79)*100</f>
        <v>0</v>
      </c>
      <c r="BE79" s="42">
        <v>0</v>
      </c>
      <c r="BF79" s="42">
        <f>O79</f>
        <v>0</v>
      </c>
      <c r="BH79" s="42">
        <f>G79*AO79</f>
        <v>0</v>
      </c>
      <c r="BI79" s="42">
        <f>G79*AP79</f>
        <v>0</v>
      </c>
      <c r="BJ79" s="42">
        <f>G79*H79</f>
        <v>0</v>
      </c>
      <c r="BK79" s="42"/>
      <c r="BL79" s="42"/>
      <c r="BW79" s="42" t="str">
        <f>I79</f>
        <v>21</v>
      </c>
      <c r="BX79" s="3" t="s">
        <v>254</v>
      </c>
    </row>
    <row r="80" spans="1:76">
      <c r="A80" s="76"/>
      <c r="D80" s="77" t="s">
        <v>256</v>
      </c>
      <c r="E80" s="77" t="s">
        <v>4</v>
      </c>
      <c r="G80" s="78">
        <v>0.04</v>
      </c>
      <c r="P80" s="79"/>
    </row>
    <row r="81" spans="1:76">
      <c r="A81" s="1" t="s">
        <v>257</v>
      </c>
      <c r="B81" s="2" t="s">
        <v>4</v>
      </c>
      <c r="C81" s="2" t="s">
        <v>258</v>
      </c>
      <c r="D81" s="93" t="s">
        <v>259</v>
      </c>
      <c r="E81" s="90"/>
      <c r="F81" s="2" t="s">
        <v>222</v>
      </c>
      <c r="G81" s="42">
        <v>1.0576399999999999</v>
      </c>
      <c r="H81" s="343"/>
      <c r="I81" s="74" t="s">
        <v>132</v>
      </c>
      <c r="J81" s="42">
        <f>G81*AO81</f>
        <v>0</v>
      </c>
      <c r="K81" s="42">
        <f>G81*AP81</f>
        <v>0</v>
      </c>
      <c r="L81" s="42">
        <f>G81*H81</f>
        <v>0</v>
      </c>
      <c r="M81" s="42">
        <f>L81*(1+BW81/100)</f>
        <v>0</v>
      </c>
      <c r="N81" s="42">
        <v>0</v>
      </c>
      <c r="O81" s="42">
        <f>G81*N81</f>
        <v>0</v>
      </c>
      <c r="P81" s="75" t="s">
        <v>133</v>
      </c>
      <c r="Z81" s="42">
        <f>IF(AQ81="5",BJ81,0)</f>
        <v>0</v>
      </c>
      <c r="AB81" s="42">
        <f>IF(AQ81="1",BH81,0)</f>
        <v>0</v>
      </c>
      <c r="AC81" s="42">
        <f>IF(AQ81="1",BI81,0)</f>
        <v>0</v>
      </c>
      <c r="AD81" s="42">
        <f>IF(AQ81="7",BH81,0)</f>
        <v>0</v>
      </c>
      <c r="AE81" s="42">
        <f>IF(AQ81="7",BI81,0)</f>
        <v>0</v>
      </c>
      <c r="AF81" s="42">
        <f>IF(AQ81="2",BH81,0)</f>
        <v>0</v>
      </c>
      <c r="AG81" s="42">
        <f>IF(AQ81="2",BI81,0)</f>
        <v>0</v>
      </c>
      <c r="AH81" s="42">
        <f>IF(AQ81="0",BJ81,0)</f>
        <v>0</v>
      </c>
      <c r="AI81" s="55" t="s">
        <v>4</v>
      </c>
      <c r="AJ81" s="42">
        <f>IF(AN81=0,L81,0)</f>
        <v>0</v>
      </c>
      <c r="AK81" s="42">
        <f>IF(AN81=12,L81,0)</f>
        <v>0</v>
      </c>
      <c r="AL81" s="42">
        <f>IF(AN81=21,L81,0)</f>
        <v>0</v>
      </c>
      <c r="AN81" s="42">
        <v>21</v>
      </c>
      <c r="AO81" s="42">
        <f>H81*0</f>
        <v>0</v>
      </c>
      <c r="AP81" s="42">
        <f>H81*(1-0)</f>
        <v>0</v>
      </c>
      <c r="AQ81" s="74" t="s">
        <v>156</v>
      </c>
      <c r="AV81" s="42">
        <f>AW81+AX81</f>
        <v>0</v>
      </c>
      <c r="AW81" s="42">
        <f>G81*AO81</f>
        <v>0</v>
      </c>
      <c r="AX81" s="42">
        <f>G81*AP81</f>
        <v>0</v>
      </c>
      <c r="AY81" s="74" t="s">
        <v>255</v>
      </c>
      <c r="AZ81" s="74" t="s">
        <v>211</v>
      </c>
      <c r="BA81" s="55" t="s">
        <v>136</v>
      </c>
      <c r="BC81" s="42">
        <f>AW81+AX81</f>
        <v>0</v>
      </c>
      <c r="BD81" s="42">
        <f>H81/(100-BE81)*100</f>
        <v>0</v>
      </c>
      <c r="BE81" s="42">
        <v>0</v>
      </c>
      <c r="BF81" s="42">
        <f>O81</f>
        <v>0</v>
      </c>
      <c r="BH81" s="42">
        <f>G81*AO81</f>
        <v>0</v>
      </c>
      <c r="BI81" s="42">
        <f>G81*AP81</f>
        <v>0</v>
      </c>
      <c r="BJ81" s="42">
        <f>G81*H81</f>
        <v>0</v>
      </c>
      <c r="BK81" s="42"/>
      <c r="BL81" s="42"/>
      <c r="BW81" s="42" t="str">
        <f>I81</f>
        <v>21</v>
      </c>
      <c r="BX81" s="3" t="s">
        <v>259</v>
      </c>
    </row>
    <row r="82" spans="1:76">
      <c r="A82" s="1" t="s">
        <v>260</v>
      </c>
      <c r="B82" s="2" t="s">
        <v>4</v>
      </c>
      <c r="C82" s="2" t="s">
        <v>261</v>
      </c>
      <c r="D82" s="93" t="s">
        <v>262</v>
      </c>
      <c r="E82" s="90"/>
      <c r="F82" s="2" t="s">
        <v>222</v>
      </c>
      <c r="G82" s="42">
        <v>0.04</v>
      </c>
      <c r="H82" s="343"/>
      <c r="I82" s="74" t="s">
        <v>132</v>
      </c>
      <c r="J82" s="42">
        <f>G82*AO82</f>
        <v>0</v>
      </c>
      <c r="K82" s="42">
        <f>G82*AP82</f>
        <v>0</v>
      </c>
      <c r="L82" s="42">
        <f>G82*H82</f>
        <v>0</v>
      </c>
      <c r="M82" s="42">
        <f>L82*(1+BW82/100)</f>
        <v>0</v>
      </c>
      <c r="N82" s="42">
        <v>0</v>
      </c>
      <c r="O82" s="42">
        <f>G82*N82</f>
        <v>0</v>
      </c>
      <c r="P82" s="75" t="s">
        <v>133</v>
      </c>
      <c r="Z82" s="42">
        <f>IF(AQ82="5",BJ82,0)</f>
        <v>0</v>
      </c>
      <c r="AB82" s="42">
        <f>IF(AQ82="1",BH82,0)</f>
        <v>0</v>
      </c>
      <c r="AC82" s="42">
        <f>IF(AQ82="1",BI82,0)</f>
        <v>0</v>
      </c>
      <c r="AD82" s="42">
        <f>IF(AQ82="7",BH82,0)</f>
        <v>0</v>
      </c>
      <c r="AE82" s="42">
        <f>IF(AQ82="7",BI82,0)</f>
        <v>0</v>
      </c>
      <c r="AF82" s="42">
        <f>IF(AQ82="2",BH82,0)</f>
        <v>0</v>
      </c>
      <c r="AG82" s="42">
        <f>IF(AQ82="2",BI82,0)</f>
        <v>0</v>
      </c>
      <c r="AH82" s="42">
        <f>IF(AQ82="0",BJ82,0)</f>
        <v>0</v>
      </c>
      <c r="AI82" s="55" t="s">
        <v>4</v>
      </c>
      <c r="AJ82" s="42">
        <f>IF(AN82=0,L82,0)</f>
        <v>0</v>
      </c>
      <c r="AK82" s="42">
        <f>IF(AN82=12,L82,0)</f>
        <v>0</v>
      </c>
      <c r="AL82" s="42">
        <f>IF(AN82=21,L82,0)</f>
        <v>0</v>
      </c>
      <c r="AN82" s="42">
        <v>21</v>
      </c>
      <c r="AO82" s="42">
        <f>H82*0</f>
        <v>0</v>
      </c>
      <c r="AP82" s="42">
        <f>H82*(1-0)</f>
        <v>0</v>
      </c>
      <c r="AQ82" s="74" t="s">
        <v>156</v>
      </c>
      <c r="AV82" s="42">
        <f>AW82+AX82</f>
        <v>0</v>
      </c>
      <c r="AW82" s="42">
        <f>G82*AO82</f>
        <v>0</v>
      </c>
      <c r="AX82" s="42">
        <f>G82*AP82</f>
        <v>0</v>
      </c>
      <c r="AY82" s="74" t="s">
        <v>255</v>
      </c>
      <c r="AZ82" s="74" t="s">
        <v>211</v>
      </c>
      <c r="BA82" s="55" t="s">
        <v>136</v>
      </c>
      <c r="BC82" s="42">
        <f>AW82+AX82</f>
        <v>0</v>
      </c>
      <c r="BD82" s="42">
        <f>H82/(100-BE82)*100</f>
        <v>0</v>
      </c>
      <c r="BE82" s="42">
        <v>0</v>
      </c>
      <c r="BF82" s="42">
        <f>O82</f>
        <v>0</v>
      </c>
      <c r="BH82" s="42">
        <f>G82*AO82</f>
        <v>0</v>
      </c>
      <c r="BI82" s="42">
        <f>G82*AP82</f>
        <v>0</v>
      </c>
      <c r="BJ82" s="42">
        <f>G82*H82</f>
        <v>0</v>
      </c>
      <c r="BK82" s="42"/>
      <c r="BL82" s="42"/>
      <c r="BW82" s="42" t="str">
        <f>I82</f>
        <v>21</v>
      </c>
      <c r="BX82" s="3" t="s">
        <v>262</v>
      </c>
    </row>
    <row r="83" spans="1:76">
      <c r="A83" s="76"/>
      <c r="D83" s="77" t="s">
        <v>256</v>
      </c>
      <c r="E83" s="77" t="s">
        <v>4</v>
      </c>
      <c r="G83" s="78">
        <v>0.04</v>
      </c>
      <c r="P83" s="79"/>
    </row>
    <row r="84" spans="1:76">
      <c r="A84" s="1" t="s">
        <v>126</v>
      </c>
      <c r="B84" s="2" t="s">
        <v>4</v>
      </c>
      <c r="C84" s="2" t="s">
        <v>263</v>
      </c>
      <c r="D84" s="93" t="s">
        <v>264</v>
      </c>
      <c r="E84" s="90"/>
      <c r="F84" s="2" t="s">
        <v>222</v>
      </c>
      <c r="G84" s="42">
        <v>1.19764</v>
      </c>
      <c r="H84" s="343"/>
      <c r="I84" s="74" t="s">
        <v>132</v>
      </c>
      <c r="J84" s="42">
        <f>G84*AO84</f>
        <v>0</v>
      </c>
      <c r="K84" s="42">
        <f>G84*AP84</f>
        <v>0</v>
      </c>
      <c r="L84" s="42">
        <f>G84*H84</f>
        <v>0</v>
      </c>
      <c r="M84" s="42">
        <f>L84*(1+BW84/100)</f>
        <v>0</v>
      </c>
      <c r="N84" s="42">
        <v>0</v>
      </c>
      <c r="O84" s="42">
        <f>G84*N84</f>
        <v>0</v>
      </c>
      <c r="P84" s="75" t="s">
        <v>133</v>
      </c>
      <c r="Z84" s="42">
        <f>IF(AQ84="5",BJ84,0)</f>
        <v>0</v>
      </c>
      <c r="AB84" s="42">
        <f>IF(AQ84="1",BH84,0)</f>
        <v>0</v>
      </c>
      <c r="AC84" s="42">
        <f>IF(AQ84="1",BI84,0)</f>
        <v>0</v>
      </c>
      <c r="AD84" s="42">
        <f>IF(AQ84="7",BH84,0)</f>
        <v>0</v>
      </c>
      <c r="AE84" s="42">
        <f>IF(AQ84="7",BI84,0)</f>
        <v>0</v>
      </c>
      <c r="AF84" s="42">
        <f>IF(AQ84="2",BH84,0)</f>
        <v>0</v>
      </c>
      <c r="AG84" s="42">
        <f>IF(AQ84="2",BI84,0)</f>
        <v>0</v>
      </c>
      <c r="AH84" s="42">
        <f>IF(AQ84="0",BJ84,0)</f>
        <v>0</v>
      </c>
      <c r="AI84" s="55" t="s">
        <v>4</v>
      </c>
      <c r="AJ84" s="42">
        <f>IF(AN84=0,L84,0)</f>
        <v>0</v>
      </c>
      <c r="AK84" s="42">
        <f>IF(AN84=12,L84,0)</f>
        <v>0</v>
      </c>
      <c r="AL84" s="42">
        <f>IF(AN84=21,L84,0)</f>
        <v>0</v>
      </c>
      <c r="AN84" s="42">
        <v>21</v>
      </c>
      <c r="AO84" s="42">
        <f>H84*0</f>
        <v>0</v>
      </c>
      <c r="AP84" s="42">
        <f>H84*(1-0)</f>
        <v>0</v>
      </c>
      <c r="AQ84" s="74" t="s">
        <v>156</v>
      </c>
      <c r="AV84" s="42">
        <f>AW84+AX84</f>
        <v>0</v>
      </c>
      <c r="AW84" s="42">
        <f>G84*AO84</f>
        <v>0</v>
      </c>
      <c r="AX84" s="42">
        <f>G84*AP84</f>
        <v>0</v>
      </c>
      <c r="AY84" s="74" t="s">
        <v>255</v>
      </c>
      <c r="AZ84" s="74" t="s">
        <v>211</v>
      </c>
      <c r="BA84" s="55" t="s">
        <v>136</v>
      </c>
      <c r="BC84" s="42">
        <f>AW84+AX84</f>
        <v>0</v>
      </c>
      <c r="BD84" s="42">
        <f>H84/(100-BE84)*100</f>
        <v>0</v>
      </c>
      <c r="BE84" s="42">
        <v>0</v>
      </c>
      <c r="BF84" s="42">
        <f>O84</f>
        <v>0</v>
      </c>
      <c r="BH84" s="42">
        <f>G84*AO84</f>
        <v>0</v>
      </c>
      <c r="BI84" s="42">
        <f>G84*AP84</f>
        <v>0</v>
      </c>
      <c r="BJ84" s="42">
        <f>G84*H84</f>
        <v>0</v>
      </c>
      <c r="BK84" s="42"/>
      <c r="BL84" s="42"/>
      <c r="BW84" s="42" t="str">
        <f>I84</f>
        <v>21</v>
      </c>
      <c r="BX84" s="3" t="s">
        <v>264</v>
      </c>
    </row>
    <row r="85" spans="1:76">
      <c r="A85" s="76"/>
      <c r="D85" s="77" t="s">
        <v>265</v>
      </c>
      <c r="E85" s="77" t="s">
        <v>4</v>
      </c>
      <c r="G85" s="78">
        <v>1.0576399999999999</v>
      </c>
      <c r="P85" s="79"/>
    </row>
    <row r="86" spans="1:76">
      <c r="A86" s="76"/>
      <c r="D86" s="77" t="s">
        <v>266</v>
      </c>
      <c r="E86" s="77" t="s">
        <v>267</v>
      </c>
      <c r="G86" s="78">
        <v>0.14000000000000001</v>
      </c>
      <c r="P86" s="79"/>
    </row>
    <row r="87" spans="1:76">
      <c r="A87" s="1" t="s">
        <v>268</v>
      </c>
      <c r="B87" s="2" t="s">
        <v>4</v>
      </c>
      <c r="C87" s="2" t="s">
        <v>269</v>
      </c>
      <c r="D87" s="93" t="s">
        <v>270</v>
      </c>
      <c r="E87" s="90"/>
      <c r="F87" s="2" t="s">
        <v>222</v>
      </c>
      <c r="G87" s="42">
        <v>2.3952800000000001</v>
      </c>
      <c r="H87" s="343"/>
      <c r="I87" s="74" t="s">
        <v>132</v>
      </c>
      <c r="J87" s="42">
        <f>G87*AO87</f>
        <v>0</v>
      </c>
      <c r="K87" s="42">
        <f>G87*AP87</f>
        <v>0</v>
      </c>
      <c r="L87" s="42">
        <f>G87*H87</f>
        <v>0</v>
      </c>
      <c r="M87" s="42">
        <f>L87*(1+BW87/100)</f>
        <v>0</v>
      </c>
      <c r="N87" s="42">
        <v>0</v>
      </c>
      <c r="O87" s="42">
        <f>G87*N87</f>
        <v>0</v>
      </c>
      <c r="P87" s="75" t="s">
        <v>133</v>
      </c>
      <c r="Z87" s="42">
        <f>IF(AQ87="5",BJ87,0)</f>
        <v>0</v>
      </c>
      <c r="AB87" s="42">
        <f>IF(AQ87="1",BH87,0)</f>
        <v>0</v>
      </c>
      <c r="AC87" s="42">
        <f>IF(AQ87="1",BI87,0)</f>
        <v>0</v>
      </c>
      <c r="AD87" s="42">
        <f>IF(AQ87="7",BH87,0)</f>
        <v>0</v>
      </c>
      <c r="AE87" s="42">
        <f>IF(AQ87="7",BI87,0)</f>
        <v>0</v>
      </c>
      <c r="AF87" s="42">
        <f>IF(AQ87="2",BH87,0)</f>
        <v>0</v>
      </c>
      <c r="AG87" s="42">
        <f>IF(AQ87="2",BI87,0)</f>
        <v>0</v>
      </c>
      <c r="AH87" s="42">
        <f>IF(AQ87="0",BJ87,0)</f>
        <v>0</v>
      </c>
      <c r="AI87" s="55" t="s">
        <v>4</v>
      </c>
      <c r="AJ87" s="42">
        <f>IF(AN87=0,L87,0)</f>
        <v>0</v>
      </c>
      <c r="AK87" s="42">
        <f>IF(AN87=12,L87,0)</f>
        <v>0</v>
      </c>
      <c r="AL87" s="42">
        <f>IF(AN87=21,L87,0)</f>
        <v>0</v>
      </c>
      <c r="AN87" s="42">
        <v>21</v>
      </c>
      <c r="AO87" s="42">
        <f>H87*0</f>
        <v>0</v>
      </c>
      <c r="AP87" s="42">
        <f>H87*(1-0)</f>
        <v>0</v>
      </c>
      <c r="AQ87" s="74" t="s">
        <v>156</v>
      </c>
      <c r="AV87" s="42">
        <f>AW87+AX87</f>
        <v>0</v>
      </c>
      <c r="AW87" s="42">
        <f>G87*AO87</f>
        <v>0</v>
      </c>
      <c r="AX87" s="42">
        <f>G87*AP87</f>
        <v>0</v>
      </c>
      <c r="AY87" s="74" t="s">
        <v>255</v>
      </c>
      <c r="AZ87" s="74" t="s">
        <v>211</v>
      </c>
      <c r="BA87" s="55" t="s">
        <v>136</v>
      </c>
      <c r="BC87" s="42">
        <f>AW87+AX87</f>
        <v>0</v>
      </c>
      <c r="BD87" s="42">
        <f>H87/(100-BE87)*100</f>
        <v>0</v>
      </c>
      <c r="BE87" s="42">
        <v>0</v>
      </c>
      <c r="BF87" s="42">
        <f>O87</f>
        <v>0</v>
      </c>
      <c r="BH87" s="42">
        <f>G87*AO87</f>
        <v>0</v>
      </c>
      <c r="BI87" s="42">
        <f>G87*AP87</f>
        <v>0</v>
      </c>
      <c r="BJ87" s="42">
        <f>G87*H87</f>
        <v>0</v>
      </c>
      <c r="BK87" s="42"/>
      <c r="BL87" s="42"/>
      <c r="BW87" s="42" t="str">
        <f>I87</f>
        <v>21</v>
      </c>
      <c r="BX87" s="3" t="s">
        <v>270</v>
      </c>
    </row>
    <row r="88" spans="1:76">
      <c r="A88" s="76"/>
      <c r="D88" s="77" t="s">
        <v>271</v>
      </c>
      <c r="E88" s="77" t="s">
        <v>272</v>
      </c>
      <c r="G88" s="78">
        <v>2.3952800000000001</v>
      </c>
      <c r="P88" s="79"/>
    </row>
    <row r="89" spans="1:76" ht="25.5">
      <c r="A89" s="1" t="s">
        <v>273</v>
      </c>
      <c r="B89" s="2" t="s">
        <v>4</v>
      </c>
      <c r="C89" s="2" t="s">
        <v>274</v>
      </c>
      <c r="D89" s="93" t="s">
        <v>275</v>
      </c>
      <c r="E89" s="90"/>
      <c r="F89" s="2" t="s">
        <v>222</v>
      </c>
      <c r="G89" s="42">
        <v>1.19764</v>
      </c>
      <c r="H89" s="343"/>
      <c r="I89" s="74" t="s">
        <v>132</v>
      </c>
      <c r="J89" s="42">
        <f>G89*AO89</f>
        <v>0</v>
      </c>
      <c r="K89" s="42">
        <f>G89*AP89</f>
        <v>0</v>
      </c>
      <c r="L89" s="42">
        <f>G89*H89</f>
        <v>0</v>
      </c>
      <c r="M89" s="42">
        <f>L89*(1+BW89/100)</f>
        <v>0</v>
      </c>
      <c r="N89" s="42">
        <v>0</v>
      </c>
      <c r="O89" s="42">
        <f>G89*N89</f>
        <v>0</v>
      </c>
      <c r="P89" s="75" t="s">
        <v>133</v>
      </c>
      <c r="Z89" s="42">
        <f>IF(AQ89="5",BJ89,0)</f>
        <v>0</v>
      </c>
      <c r="AB89" s="42">
        <f>IF(AQ89="1",BH89,0)</f>
        <v>0</v>
      </c>
      <c r="AC89" s="42">
        <f>IF(AQ89="1",BI89,0)</f>
        <v>0</v>
      </c>
      <c r="AD89" s="42">
        <f>IF(AQ89="7",BH89,0)</f>
        <v>0</v>
      </c>
      <c r="AE89" s="42">
        <f>IF(AQ89="7",BI89,0)</f>
        <v>0</v>
      </c>
      <c r="AF89" s="42">
        <f>IF(AQ89="2",BH89,0)</f>
        <v>0</v>
      </c>
      <c r="AG89" s="42">
        <f>IF(AQ89="2",BI89,0)</f>
        <v>0</v>
      </c>
      <c r="AH89" s="42">
        <f>IF(AQ89="0",BJ89,0)</f>
        <v>0</v>
      </c>
      <c r="AI89" s="55" t="s">
        <v>4</v>
      </c>
      <c r="AJ89" s="42">
        <f>IF(AN89=0,L89,0)</f>
        <v>0</v>
      </c>
      <c r="AK89" s="42">
        <f>IF(AN89=12,L89,0)</f>
        <v>0</v>
      </c>
      <c r="AL89" s="42">
        <f>IF(AN89=21,L89,0)</f>
        <v>0</v>
      </c>
      <c r="AN89" s="42">
        <v>21</v>
      </c>
      <c r="AO89" s="42">
        <f>H89*0</f>
        <v>0</v>
      </c>
      <c r="AP89" s="42">
        <f>H89*(1-0)</f>
        <v>0</v>
      </c>
      <c r="AQ89" s="74" t="s">
        <v>156</v>
      </c>
      <c r="AV89" s="42">
        <f>AW89+AX89</f>
        <v>0</v>
      </c>
      <c r="AW89" s="42">
        <f>G89*AO89</f>
        <v>0</v>
      </c>
      <c r="AX89" s="42">
        <f>G89*AP89</f>
        <v>0</v>
      </c>
      <c r="AY89" s="74" t="s">
        <v>255</v>
      </c>
      <c r="AZ89" s="74" t="s">
        <v>211</v>
      </c>
      <c r="BA89" s="55" t="s">
        <v>136</v>
      </c>
      <c r="BC89" s="42">
        <f>AW89+AX89</f>
        <v>0</v>
      </c>
      <c r="BD89" s="42">
        <f>H89/(100-BE89)*100</f>
        <v>0</v>
      </c>
      <c r="BE89" s="42">
        <v>0</v>
      </c>
      <c r="BF89" s="42">
        <f>O89</f>
        <v>0</v>
      </c>
      <c r="BH89" s="42">
        <f>G89*AO89</f>
        <v>0</v>
      </c>
      <c r="BI89" s="42">
        <f>G89*AP89</f>
        <v>0</v>
      </c>
      <c r="BJ89" s="42">
        <f>G89*H89</f>
        <v>0</v>
      </c>
      <c r="BK89" s="42"/>
      <c r="BL89" s="42"/>
      <c r="BW89" s="42" t="str">
        <f>I89</f>
        <v>21</v>
      </c>
      <c r="BX89" s="3" t="s">
        <v>275</v>
      </c>
    </row>
    <row r="90" spans="1:76">
      <c r="A90" s="76"/>
      <c r="D90" s="77" t="s">
        <v>276</v>
      </c>
      <c r="E90" s="77" t="s">
        <v>4</v>
      </c>
      <c r="G90" s="78">
        <v>1.19764</v>
      </c>
      <c r="P90" s="79"/>
    </row>
    <row r="91" spans="1:76">
      <c r="A91" s="70" t="s">
        <v>4</v>
      </c>
      <c r="B91" s="71" t="s">
        <v>4</v>
      </c>
      <c r="C91" s="71" t="s">
        <v>277</v>
      </c>
      <c r="D91" s="177" t="s">
        <v>278</v>
      </c>
      <c r="E91" s="178"/>
      <c r="F91" s="72" t="s">
        <v>72</v>
      </c>
      <c r="G91" s="72" t="s">
        <v>72</v>
      </c>
      <c r="H91" s="72" t="s">
        <v>72</v>
      </c>
      <c r="I91" s="72" t="s">
        <v>72</v>
      </c>
      <c r="J91" s="48">
        <f>SUM(J92:J96)</f>
        <v>0</v>
      </c>
      <c r="K91" s="48">
        <f>SUM(K92:K96)</f>
        <v>0</v>
      </c>
      <c r="L91" s="48">
        <f>SUM(L92:L96)</f>
        <v>0</v>
      </c>
      <c r="M91" s="48">
        <f>SUM(M92:M96)</f>
        <v>0</v>
      </c>
      <c r="N91" s="55" t="s">
        <v>4</v>
      </c>
      <c r="O91" s="48">
        <f>SUM(O92:O96)</f>
        <v>4.2000000000000003E-2</v>
      </c>
      <c r="P91" s="73" t="s">
        <v>4</v>
      </c>
      <c r="AI91" s="55" t="s">
        <v>4</v>
      </c>
      <c r="AS91" s="48">
        <f>SUM(AJ92:AJ96)</f>
        <v>0</v>
      </c>
      <c r="AT91" s="48">
        <f>SUM(AK92:AK96)</f>
        <v>0</v>
      </c>
      <c r="AU91" s="48">
        <f>SUM(AL92:AL96)</f>
        <v>0</v>
      </c>
    </row>
    <row r="92" spans="1:76">
      <c r="A92" s="1" t="s">
        <v>279</v>
      </c>
      <c r="B92" s="2" t="s">
        <v>4</v>
      </c>
      <c r="C92" s="2" t="s">
        <v>280</v>
      </c>
      <c r="D92" s="93" t="s">
        <v>281</v>
      </c>
      <c r="E92" s="90"/>
      <c r="F92" s="2" t="s">
        <v>131</v>
      </c>
      <c r="G92" s="42">
        <v>1</v>
      </c>
      <c r="H92" s="343"/>
      <c r="I92" s="74" t="s">
        <v>132</v>
      </c>
      <c r="J92" s="42">
        <f>G92*AO92</f>
        <v>0</v>
      </c>
      <c r="K92" s="42">
        <f>G92*AP92</f>
        <v>0</v>
      </c>
      <c r="L92" s="42">
        <f>G92*H92</f>
        <v>0</v>
      </c>
      <c r="M92" s="42">
        <f>L92*(1+BW92/100)</f>
        <v>0</v>
      </c>
      <c r="N92" s="42">
        <v>0</v>
      </c>
      <c r="O92" s="42">
        <f>G92*N92</f>
        <v>0</v>
      </c>
      <c r="P92" s="75" t="s">
        <v>133</v>
      </c>
      <c r="Z92" s="42">
        <f>IF(AQ92="5",BJ92,0)</f>
        <v>0</v>
      </c>
      <c r="AB92" s="42">
        <f>IF(AQ92="1",BH92,0)</f>
        <v>0</v>
      </c>
      <c r="AC92" s="42">
        <f>IF(AQ92="1",BI92,0)</f>
        <v>0</v>
      </c>
      <c r="AD92" s="42">
        <f>IF(AQ92="7",BH92,0)</f>
        <v>0</v>
      </c>
      <c r="AE92" s="42">
        <f>IF(AQ92="7",BI92,0)</f>
        <v>0</v>
      </c>
      <c r="AF92" s="42">
        <f>IF(AQ92="2",BH92,0)</f>
        <v>0</v>
      </c>
      <c r="AG92" s="42">
        <f>IF(AQ92="2",BI92,0)</f>
        <v>0</v>
      </c>
      <c r="AH92" s="42">
        <f>IF(AQ92="0",BJ92,0)</f>
        <v>0</v>
      </c>
      <c r="AI92" s="55" t="s">
        <v>4</v>
      </c>
      <c r="AJ92" s="42">
        <f>IF(AN92=0,L92,0)</f>
        <v>0</v>
      </c>
      <c r="AK92" s="42">
        <f>IF(AN92=12,L92,0)</f>
        <v>0</v>
      </c>
      <c r="AL92" s="42">
        <f>IF(AN92=21,L92,0)</f>
        <v>0</v>
      </c>
      <c r="AN92" s="42">
        <v>21</v>
      </c>
      <c r="AO92" s="42">
        <f>H92*0</f>
        <v>0</v>
      </c>
      <c r="AP92" s="42">
        <f>H92*(1-0)</f>
        <v>0</v>
      </c>
      <c r="AQ92" s="74" t="s">
        <v>165</v>
      </c>
      <c r="AV92" s="42">
        <f>AW92+AX92</f>
        <v>0</v>
      </c>
      <c r="AW92" s="42">
        <f>G92*AO92</f>
        <v>0</v>
      </c>
      <c r="AX92" s="42">
        <f>G92*AP92</f>
        <v>0</v>
      </c>
      <c r="AY92" s="74" t="s">
        <v>282</v>
      </c>
      <c r="AZ92" s="74" t="s">
        <v>283</v>
      </c>
      <c r="BA92" s="55" t="s">
        <v>136</v>
      </c>
      <c r="BC92" s="42">
        <f>AW92+AX92</f>
        <v>0</v>
      </c>
      <c r="BD92" s="42">
        <f>H92/(100-BE92)*100</f>
        <v>0</v>
      </c>
      <c r="BE92" s="42">
        <v>0</v>
      </c>
      <c r="BF92" s="42">
        <f>O92</f>
        <v>0</v>
      </c>
      <c r="BH92" s="42">
        <f>G92*AO92</f>
        <v>0</v>
      </c>
      <c r="BI92" s="42">
        <f>G92*AP92</f>
        <v>0</v>
      </c>
      <c r="BJ92" s="42">
        <f>G92*H92</f>
        <v>0</v>
      </c>
      <c r="BK92" s="42"/>
      <c r="BL92" s="42">
        <v>766</v>
      </c>
      <c r="BW92" s="42" t="str">
        <f>I92</f>
        <v>21</v>
      </c>
      <c r="BX92" s="3" t="s">
        <v>281</v>
      </c>
    </row>
    <row r="93" spans="1:76">
      <c r="A93" s="76"/>
      <c r="D93" s="77" t="s">
        <v>128</v>
      </c>
      <c r="E93" s="77" t="s">
        <v>249</v>
      </c>
      <c r="G93" s="78">
        <v>1</v>
      </c>
      <c r="P93" s="79"/>
    </row>
    <row r="94" spans="1:76">
      <c r="A94" s="1" t="s">
        <v>284</v>
      </c>
      <c r="B94" s="2" t="s">
        <v>4</v>
      </c>
      <c r="C94" s="2" t="s">
        <v>285</v>
      </c>
      <c r="D94" s="93" t="s">
        <v>286</v>
      </c>
      <c r="E94" s="90"/>
      <c r="F94" s="2" t="s">
        <v>131</v>
      </c>
      <c r="G94" s="42">
        <v>1</v>
      </c>
      <c r="H94" s="343"/>
      <c r="I94" s="74" t="s">
        <v>132</v>
      </c>
      <c r="J94" s="42">
        <f>G94*AO94</f>
        <v>0</v>
      </c>
      <c r="K94" s="42">
        <f>G94*AP94</f>
        <v>0</v>
      </c>
      <c r="L94" s="42">
        <f>G94*H94</f>
        <v>0</v>
      </c>
      <c r="M94" s="42">
        <f>L94*(1+BW94/100)</f>
        <v>0</v>
      </c>
      <c r="N94" s="42">
        <v>4.2000000000000003E-2</v>
      </c>
      <c r="O94" s="42">
        <f>G94*N94</f>
        <v>4.2000000000000003E-2</v>
      </c>
      <c r="P94" s="75" t="s">
        <v>133</v>
      </c>
      <c r="Z94" s="42">
        <f>IF(AQ94="5",BJ94,0)</f>
        <v>0</v>
      </c>
      <c r="AB94" s="42">
        <f>IF(AQ94="1",BH94,0)</f>
        <v>0</v>
      </c>
      <c r="AC94" s="42">
        <f>IF(AQ94="1",BI94,0)</f>
        <v>0</v>
      </c>
      <c r="AD94" s="42">
        <f>IF(AQ94="7",BH94,0)</f>
        <v>0</v>
      </c>
      <c r="AE94" s="42">
        <f>IF(AQ94="7",BI94,0)</f>
        <v>0</v>
      </c>
      <c r="AF94" s="42">
        <f>IF(AQ94="2",BH94,0)</f>
        <v>0</v>
      </c>
      <c r="AG94" s="42">
        <f>IF(AQ94="2",BI94,0)</f>
        <v>0</v>
      </c>
      <c r="AH94" s="42">
        <f>IF(AQ94="0",BJ94,0)</f>
        <v>0</v>
      </c>
      <c r="AI94" s="55" t="s">
        <v>4</v>
      </c>
      <c r="AJ94" s="42">
        <f>IF(AN94=0,L94,0)</f>
        <v>0</v>
      </c>
      <c r="AK94" s="42">
        <f>IF(AN94=12,L94,0)</f>
        <v>0</v>
      </c>
      <c r="AL94" s="42">
        <f>IF(AN94=21,L94,0)</f>
        <v>0</v>
      </c>
      <c r="AN94" s="42">
        <v>21</v>
      </c>
      <c r="AO94" s="42">
        <f>H94*1</f>
        <v>0</v>
      </c>
      <c r="AP94" s="42">
        <f>H94*(1-1)</f>
        <v>0</v>
      </c>
      <c r="AQ94" s="74" t="s">
        <v>165</v>
      </c>
      <c r="AV94" s="42">
        <f>AW94+AX94</f>
        <v>0</v>
      </c>
      <c r="AW94" s="42">
        <f>G94*AO94</f>
        <v>0</v>
      </c>
      <c r="AX94" s="42">
        <f>G94*AP94</f>
        <v>0</v>
      </c>
      <c r="AY94" s="74" t="s">
        <v>282</v>
      </c>
      <c r="AZ94" s="74" t="s">
        <v>283</v>
      </c>
      <c r="BA94" s="55" t="s">
        <v>136</v>
      </c>
      <c r="BC94" s="42">
        <f>AW94+AX94</f>
        <v>0</v>
      </c>
      <c r="BD94" s="42">
        <f>H94/(100-BE94)*100</f>
        <v>0</v>
      </c>
      <c r="BE94" s="42">
        <v>0</v>
      </c>
      <c r="BF94" s="42">
        <f>O94</f>
        <v>4.2000000000000003E-2</v>
      </c>
      <c r="BH94" s="42">
        <f>G94*AO94</f>
        <v>0</v>
      </c>
      <c r="BI94" s="42">
        <f>G94*AP94</f>
        <v>0</v>
      </c>
      <c r="BJ94" s="42">
        <f>G94*H94</f>
        <v>0</v>
      </c>
      <c r="BK94" s="42"/>
      <c r="BL94" s="42">
        <v>766</v>
      </c>
      <c r="BW94" s="42" t="str">
        <f>I94</f>
        <v>21</v>
      </c>
      <c r="BX94" s="3" t="s">
        <v>286</v>
      </c>
    </row>
    <row r="95" spans="1:76">
      <c r="A95" s="76"/>
      <c r="D95" s="77" t="s">
        <v>128</v>
      </c>
      <c r="E95" s="77" t="s">
        <v>287</v>
      </c>
      <c r="G95" s="78">
        <v>1</v>
      </c>
      <c r="P95" s="79"/>
    </row>
    <row r="96" spans="1:76">
      <c r="A96" s="1" t="s">
        <v>288</v>
      </c>
      <c r="B96" s="2" t="s">
        <v>4</v>
      </c>
      <c r="C96" s="2" t="s">
        <v>289</v>
      </c>
      <c r="D96" s="93" t="s">
        <v>290</v>
      </c>
      <c r="E96" s="90"/>
      <c r="F96" s="2" t="s">
        <v>222</v>
      </c>
      <c r="G96" s="42">
        <v>4.2000000000000003E-2</v>
      </c>
      <c r="H96" s="343"/>
      <c r="I96" s="74" t="s">
        <v>132</v>
      </c>
      <c r="J96" s="42">
        <f>G96*AO96</f>
        <v>0</v>
      </c>
      <c r="K96" s="42">
        <f>G96*AP96</f>
        <v>0</v>
      </c>
      <c r="L96" s="42">
        <f>G96*H96</f>
        <v>0</v>
      </c>
      <c r="M96" s="42">
        <f>L96*(1+BW96/100)</f>
        <v>0</v>
      </c>
      <c r="N96" s="42">
        <v>0</v>
      </c>
      <c r="O96" s="42">
        <f>G96*N96</f>
        <v>0</v>
      </c>
      <c r="P96" s="75" t="s">
        <v>133</v>
      </c>
      <c r="Z96" s="42">
        <f>IF(AQ96="5",BJ96,0)</f>
        <v>0</v>
      </c>
      <c r="AB96" s="42">
        <f>IF(AQ96="1",BH96,0)</f>
        <v>0</v>
      </c>
      <c r="AC96" s="42">
        <f>IF(AQ96="1",BI96,0)</f>
        <v>0</v>
      </c>
      <c r="AD96" s="42">
        <f>IF(AQ96="7",BH96,0)</f>
        <v>0</v>
      </c>
      <c r="AE96" s="42">
        <f>IF(AQ96="7",BI96,0)</f>
        <v>0</v>
      </c>
      <c r="AF96" s="42">
        <f>IF(AQ96="2",BH96,0)</f>
        <v>0</v>
      </c>
      <c r="AG96" s="42">
        <f>IF(AQ96="2",BI96,0)</f>
        <v>0</v>
      </c>
      <c r="AH96" s="42">
        <f>IF(AQ96="0",BJ96,0)</f>
        <v>0</v>
      </c>
      <c r="AI96" s="55" t="s">
        <v>4</v>
      </c>
      <c r="AJ96" s="42">
        <f>IF(AN96=0,L96,0)</f>
        <v>0</v>
      </c>
      <c r="AK96" s="42">
        <f>IF(AN96=12,L96,0)</f>
        <v>0</v>
      </c>
      <c r="AL96" s="42">
        <f>IF(AN96=21,L96,0)</f>
        <v>0</v>
      </c>
      <c r="AN96" s="42">
        <v>21</v>
      </c>
      <c r="AO96" s="42">
        <f>H96*0</f>
        <v>0</v>
      </c>
      <c r="AP96" s="42">
        <f>H96*(1-0)</f>
        <v>0</v>
      </c>
      <c r="AQ96" s="74" t="s">
        <v>156</v>
      </c>
      <c r="AV96" s="42">
        <f>AW96+AX96</f>
        <v>0</v>
      </c>
      <c r="AW96" s="42">
        <f>G96*AO96</f>
        <v>0</v>
      </c>
      <c r="AX96" s="42">
        <f>G96*AP96</f>
        <v>0</v>
      </c>
      <c r="AY96" s="74" t="s">
        <v>282</v>
      </c>
      <c r="AZ96" s="74" t="s">
        <v>283</v>
      </c>
      <c r="BA96" s="55" t="s">
        <v>136</v>
      </c>
      <c r="BC96" s="42">
        <f>AW96+AX96</f>
        <v>0</v>
      </c>
      <c r="BD96" s="42">
        <f>H96/(100-BE96)*100</f>
        <v>0</v>
      </c>
      <c r="BE96" s="42">
        <v>0</v>
      </c>
      <c r="BF96" s="42">
        <f>O96</f>
        <v>0</v>
      </c>
      <c r="BH96" s="42">
        <f>G96*AO96</f>
        <v>0</v>
      </c>
      <c r="BI96" s="42">
        <f>G96*AP96</f>
        <v>0</v>
      </c>
      <c r="BJ96" s="42">
        <f>G96*H96</f>
        <v>0</v>
      </c>
      <c r="BK96" s="42"/>
      <c r="BL96" s="42">
        <v>766</v>
      </c>
      <c r="BW96" s="42" t="str">
        <f>I96</f>
        <v>21</v>
      </c>
      <c r="BX96" s="3" t="s">
        <v>290</v>
      </c>
    </row>
    <row r="97" spans="1:76">
      <c r="A97" s="76"/>
      <c r="D97" s="77" t="s">
        <v>291</v>
      </c>
      <c r="E97" s="77" t="s">
        <v>4</v>
      </c>
      <c r="G97" s="78">
        <v>4.2000000000000003E-2</v>
      </c>
      <c r="P97" s="79"/>
    </row>
    <row r="98" spans="1:76">
      <c r="A98" s="70" t="s">
        <v>4</v>
      </c>
      <c r="B98" s="71" t="s">
        <v>4</v>
      </c>
      <c r="C98" s="71" t="s">
        <v>292</v>
      </c>
      <c r="D98" s="177" t="s">
        <v>293</v>
      </c>
      <c r="E98" s="178"/>
      <c r="F98" s="72" t="s">
        <v>72</v>
      </c>
      <c r="G98" s="72" t="s">
        <v>72</v>
      </c>
      <c r="H98" s="72" t="s">
        <v>72</v>
      </c>
      <c r="I98" s="72" t="s">
        <v>72</v>
      </c>
      <c r="J98" s="48">
        <f>SUM(J99:J107)</f>
        <v>0</v>
      </c>
      <c r="K98" s="48">
        <f>SUM(K99:K107)</f>
        <v>0</v>
      </c>
      <c r="L98" s="48">
        <f>SUM(L99:L107)</f>
        <v>0</v>
      </c>
      <c r="M98" s="48">
        <f>SUM(M99:M107)</f>
        <v>0</v>
      </c>
      <c r="N98" s="55" t="s">
        <v>4</v>
      </c>
      <c r="O98" s="48">
        <f>SUM(O99:O107)</f>
        <v>5.5825199999999998E-2</v>
      </c>
      <c r="P98" s="73" t="s">
        <v>4</v>
      </c>
      <c r="AI98" s="55" t="s">
        <v>4</v>
      </c>
      <c r="AS98" s="48">
        <f>SUM(AJ99:AJ107)</f>
        <v>0</v>
      </c>
      <c r="AT98" s="48">
        <f>SUM(AK99:AK107)</f>
        <v>0</v>
      </c>
      <c r="AU98" s="48">
        <f>SUM(AL99:AL107)</f>
        <v>0</v>
      </c>
    </row>
    <row r="99" spans="1:76">
      <c r="A99" s="1" t="s">
        <v>294</v>
      </c>
      <c r="B99" s="2" t="s">
        <v>4</v>
      </c>
      <c r="C99" s="2" t="s">
        <v>295</v>
      </c>
      <c r="D99" s="93" t="s">
        <v>296</v>
      </c>
      <c r="E99" s="90"/>
      <c r="F99" s="2" t="s">
        <v>140</v>
      </c>
      <c r="G99" s="42">
        <v>72</v>
      </c>
      <c r="H99" s="343"/>
      <c r="I99" s="74" t="s">
        <v>132</v>
      </c>
      <c r="J99" s="42">
        <f>G99*AO99</f>
        <v>0</v>
      </c>
      <c r="K99" s="42">
        <f>G99*AP99</f>
        <v>0</v>
      </c>
      <c r="L99" s="42">
        <f>G99*H99</f>
        <v>0</v>
      </c>
      <c r="M99" s="42">
        <f>L99*(1+BW99/100)</f>
        <v>0</v>
      </c>
      <c r="N99" s="42">
        <v>1E-4</v>
      </c>
      <c r="O99" s="42">
        <f>G99*N99</f>
        <v>7.2000000000000007E-3</v>
      </c>
      <c r="P99" s="75" t="s">
        <v>133</v>
      </c>
      <c r="Z99" s="42">
        <f>IF(AQ99="5",BJ99,0)</f>
        <v>0</v>
      </c>
      <c r="AB99" s="42">
        <f>IF(AQ99="1",BH99,0)</f>
        <v>0</v>
      </c>
      <c r="AC99" s="42">
        <f>IF(AQ99="1",BI99,0)</f>
        <v>0</v>
      </c>
      <c r="AD99" s="42">
        <f>IF(AQ99="7",BH99,0)</f>
        <v>0</v>
      </c>
      <c r="AE99" s="42">
        <f>IF(AQ99="7",BI99,0)</f>
        <v>0</v>
      </c>
      <c r="AF99" s="42">
        <f>IF(AQ99="2",BH99,0)</f>
        <v>0</v>
      </c>
      <c r="AG99" s="42">
        <f>IF(AQ99="2",BI99,0)</f>
        <v>0</v>
      </c>
      <c r="AH99" s="42">
        <f>IF(AQ99="0",BJ99,0)</f>
        <v>0</v>
      </c>
      <c r="AI99" s="55" t="s">
        <v>4</v>
      </c>
      <c r="AJ99" s="42">
        <f>IF(AN99=0,L99,0)</f>
        <v>0</v>
      </c>
      <c r="AK99" s="42">
        <f>IF(AN99=12,L99,0)</f>
        <v>0</v>
      </c>
      <c r="AL99" s="42">
        <f>IF(AN99=21,L99,0)</f>
        <v>0</v>
      </c>
      <c r="AN99" s="42">
        <v>21</v>
      </c>
      <c r="AO99" s="42">
        <f>H99*0.206443408</f>
        <v>0</v>
      </c>
      <c r="AP99" s="42">
        <f>H99*(1-0.206443408)</f>
        <v>0</v>
      </c>
      <c r="AQ99" s="74" t="s">
        <v>165</v>
      </c>
      <c r="AV99" s="42">
        <f>AW99+AX99</f>
        <v>0</v>
      </c>
      <c r="AW99" s="42">
        <f>G99*AO99</f>
        <v>0</v>
      </c>
      <c r="AX99" s="42">
        <f>G99*AP99</f>
        <v>0</v>
      </c>
      <c r="AY99" s="74" t="s">
        <v>297</v>
      </c>
      <c r="AZ99" s="74" t="s">
        <v>298</v>
      </c>
      <c r="BA99" s="55" t="s">
        <v>136</v>
      </c>
      <c r="BC99" s="42">
        <f>AW99+AX99</f>
        <v>0</v>
      </c>
      <c r="BD99" s="42">
        <f>H99/(100-BE99)*100</f>
        <v>0</v>
      </c>
      <c r="BE99" s="42">
        <v>0</v>
      </c>
      <c r="BF99" s="42">
        <f>O99</f>
        <v>7.2000000000000007E-3</v>
      </c>
      <c r="BH99" s="42">
        <f>G99*AO99</f>
        <v>0</v>
      </c>
      <c r="BI99" s="42">
        <f>G99*AP99</f>
        <v>0</v>
      </c>
      <c r="BJ99" s="42">
        <f>G99*H99</f>
        <v>0</v>
      </c>
      <c r="BK99" s="42"/>
      <c r="BL99" s="42">
        <v>784</v>
      </c>
      <c r="BW99" s="42" t="str">
        <f>I99</f>
        <v>21</v>
      </c>
      <c r="BX99" s="3" t="s">
        <v>296</v>
      </c>
    </row>
    <row r="100" spans="1:76">
      <c r="A100" s="76"/>
      <c r="D100" s="77" t="s">
        <v>299</v>
      </c>
      <c r="E100" s="77" t="s">
        <v>4</v>
      </c>
      <c r="G100" s="78">
        <v>72</v>
      </c>
      <c r="P100" s="79"/>
    </row>
    <row r="101" spans="1:76">
      <c r="A101" s="1" t="s">
        <v>300</v>
      </c>
      <c r="B101" s="2" t="s">
        <v>4</v>
      </c>
      <c r="C101" s="2" t="s">
        <v>301</v>
      </c>
      <c r="D101" s="93" t="s">
        <v>302</v>
      </c>
      <c r="E101" s="90"/>
      <c r="F101" s="2" t="s">
        <v>140</v>
      </c>
      <c r="G101" s="42">
        <v>72</v>
      </c>
      <c r="H101" s="343"/>
      <c r="I101" s="74" t="s">
        <v>132</v>
      </c>
      <c r="J101" s="42">
        <f>G101*AO101</f>
        <v>0</v>
      </c>
      <c r="K101" s="42">
        <f>G101*AP101</f>
        <v>0</v>
      </c>
      <c r="L101" s="42">
        <f>G101*H101</f>
        <v>0</v>
      </c>
      <c r="M101" s="42">
        <f>L101*(1+BW101/100)</f>
        <v>0</v>
      </c>
      <c r="N101" s="42">
        <v>2.7999999999999998E-4</v>
      </c>
      <c r="O101" s="42">
        <f>G101*N101</f>
        <v>2.0159999999999997E-2</v>
      </c>
      <c r="P101" s="75" t="s">
        <v>133</v>
      </c>
      <c r="Z101" s="42">
        <f>IF(AQ101="5",BJ101,0)</f>
        <v>0</v>
      </c>
      <c r="AB101" s="42">
        <f>IF(AQ101="1",BH101,0)</f>
        <v>0</v>
      </c>
      <c r="AC101" s="42">
        <f>IF(AQ101="1",BI101,0)</f>
        <v>0</v>
      </c>
      <c r="AD101" s="42">
        <f>IF(AQ101="7",BH101,0)</f>
        <v>0</v>
      </c>
      <c r="AE101" s="42">
        <f>IF(AQ101="7",BI101,0)</f>
        <v>0</v>
      </c>
      <c r="AF101" s="42">
        <f>IF(AQ101="2",BH101,0)</f>
        <v>0</v>
      </c>
      <c r="AG101" s="42">
        <f>IF(AQ101="2",BI101,0)</f>
        <v>0</v>
      </c>
      <c r="AH101" s="42">
        <f>IF(AQ101="0",BJ101,0)</f>
        <v>0</v>
      </c>
      <c r="AI101" s="55" t="s">
        <v>4</v>
      </c>
      <c r="AJ101" s="42">
        <f>IF(AN101=0,L101,0)</f>
        <v>0</v>
      </c>
      <c r="AK101" s="42">
        <f>IF(AN101=12,L101,0)</f>
        <v>0</v>
      </c>
      <c r="AL101" s="42">
        <f>IF(AN101=21,L101,0)</f>
        <v>0</v>
      </c>
      <c r="AN101" s="42">
        <v>21</v>
      </c>
      <c r="AO101" s="42">
        <f>H101*0.18958593</f>
        <v>0</v>
      </c>
      <c r="AP101" s="42">
        <f>H101*(1-0.18958593)</f>
        <v>0</v>
      </c>
      <c r="AQ101" s="74" t="s">
        <v>165</v>
      </c>
      <c r="AV101" s="42">
        <f>AW101+AX101</f>
        <v>0</v>
      </c>
      <c r="AW101" s="42">
        <f>G101*AO101</f>
        <v>0</v>
      </c>
      <c r="AX101" s="42">
        <f>G101*AP101</f>
        <v>0</v>
      </c>
      <c r="AY101" s="74" t="s">
        <v>297</v>
      </c>
      <c r="AZ101" s="74" t="s">
        <v>298</v>
      </c>
      <c r="BA101" s="55" t="s">
        <v>136</v>
      </c>
      <c r="BC101" s="42">
        <f>AW101+AX101</f>
        <v>0</v>
      </c>
      <c r="BD101" s="42">
        <f>H101/(100-BE101)*100</f>
        <v>0</v>
      </c>
      <c r="BE101" s="42">
        <v>0</v>
      </c>
      <c r="BF101" s="42">
        <f>O101</f>
        <v>2.0159999999999997E-2</v>
      </c>
      <c r="BH101" s="42">
        <f>G101*AO101</f>
        <v>0</v>
      </c>
      <c r="BI101" s="42">
        <f>G101*AP101</f>
        <v>0</v>
      </c>
      <c r="BJ101" s="42">
        <f>G101*H101</f>
        <v>0</v>
      </c>
      <c r="BK101" s="42"/>
      <c r="BL101" s="42">
        <v>784</v>
      </c>
      <c r="BW101" s="42" t="str">
        <f>I101</f>
        <v>21</v>
      </c>
      <c r="BX101" s="3" t="s">
        <v>302</v>
      </c>
    </row>
    <row r="102" spans="1:76">
      <c r="A102" s="76"/>
      <c r="D102" s="77" t="s">
        <v>303</v>
      </c>
      <c r="E102" s="77" t="s">
        <v>4</v>
      </c>
      <c r="G102" s="78">
        <v>72</v>
      </c>
      <c r="P102" s="79"/>
    </row>
    <row r="103" spans="1:76">
      <c r="A103" s="1" t="s">
        <v>304</v>
      </c>
      <c r="B103" s="2" t="s">
        <v>4</v>
      </c>
      <c r="C103" s="2" t="s">
        <v>305</v>
      </c>
      <c r="D103" s="93" t="s">
        <v>306</v>
      </c>
      <c r="E103" s="90"/>
      <c r="F103" s="2" t="s">
        <v>140</v>
      </c>
      <c r="G103" s="42">
        <v>18</v>
      </c>
      <c r="H103" s="343"/>
      <c r="I103" s="74" t="s">
        <v>132</v>
      </c>
      <c r="J103" s="42">
        <f>G103*AO103</f>
        <v>0</v>
      </c>
      <c r="K103" s="42">
        <f>G103*AP103</f>
        <v>0</v>
      </c>
      <c r="L103" s="42">
        <f>G103*H103</f>
        <v>0</v>
      </c>
      <c r="M103" s="42">
        <f>L103*(1+BW103/100)</f>
        <v>0</v>
      </c>
      <c r="N103" s="42">
        <v>1.5E-3</v>
      </c>
      <c r="O103" s="42">
        <f>G103*N103</f>
        <v>2.7E-2</v>
      </c>
      <c r="P103" s="75" t="s">
        <v>133</v>
      </c>
      <c r="Z103" s="42">
        <f>IF(AQ103="5",BJ103,0)</f>
        <v>0</v>
      </c>
      <c r="AB103" s="42">
        <f>IF(AQ103="1",BH103,0)</f>
        <v>0</v>
      </c>
      <c r="AC103" s="42">
        <f>IF(AQ103="1",BI103,0)</f>
        <v>0</v>
      </c>
      <c r="AD103" s="42">
        <f>IF(AQ103="7",BH103,0)</f>
        <v>0</v>
      </c>
      <c r="AE103" s="42">
        <f>IF(AQ103="7",BI103,0)</f>
        <v>0</v>
      </c>
      <c r="AF103" s="42">
        <f>IF(AQ103="2",BH103,0)</f>
        <v>0</v>
      </c>
      <c r="AG103" s="42">
        <f>IF(AQ103="2",BI103,0)</f>
        <v>0</v>
      </c>
      <c r="AH103" s="42">
        <f>IF(AQ103="0",BJ103,0)</f>
        <v>0</v>
      </c>
      <c r="AI103" s="55" t="s">
        <v>4</v>
      </c>
      <c r="AJ103" s="42">
        <f>IF(AN103=0,L103,0)</f>
        <v>0</v>
      </c>
      <c r="AK103" s="42">
        <f>IF(AN103=12,L103,0)</f>
        <v>0</v>
      </c>
      <c r="AL103" s="42">
        <f>IF(AN103=21,L103,0)</f>
        <v>0</v>
      </c>
      <c r="AN103" s="42">
        <v>21</v>
      </c>
      <c r="AO103" s="42">
        <f>H103*0.192631579</f>
        <v>0</v>
      </c>
      <c r="AP103" s="42">
        <f>H103*(1-0.192631579)</f>
        <v>0</v>
      </c>
      <c r="AQ103" s="74" t="s">
        <v>165</v>
      </c>
      <c r="AV103" s="42">
        <f>AW103+AX103</f>
        <v>0</v>
      </c>
      <c r="AW103" s="42">
        <f>G103*AO103</f>
        <v>0</v>
      </c>
      <c r="AX103" s="42">
        <f>G103*AP103</f>
        <v>0</v>
      </c>
      <c r="AY103" s="74" t="s">
        <v>297</v>
      </c>
      <c r="AZ103" s="74" t="s">
        <v>298</v>
      </c>
      <c r="BA103" s="55" t="s">
        <v>136</v>
      </c>
      <c r="BC103" s="42">
        <f>AW103+AX103</f>
        <v>0</v>
      </c>
      <c r="BD103" s="42">
        <f>H103/(100-BE103)*100</f>
        <v>0</v>
      </c>
      <c r="BE103" s="42">
        <v>0</v>
      </c>
      <c r="BF103" s="42">
        <f>O103</f>
        <v>2.7E-2</v>
      </c>
      <c r="BH103" s="42">
        <f>G103*AO103</f>
        <v>0</v>
      </c>
      <c r="BI103" s="42">
        <f>G103*AP103</f>
        <v>0</v>
      </c>
      <c r="BJ103" s="42">
        <f>G103*H103</f>
        <v>0</v>
      </c>
      <c r="BK103" s="42"/>
      <c r="BL103" s="42">
        <v>784</v>
      </c>
      <c r="BW103" s="42" t="str">
        <f>I103</f>
        <v>21</v>
      </c>
      <c r="BX103" s="3" t="s">
        <v>306</v>
      </c>
    </row>
    <row r="104" spans="1:76">
      <c r="A104" s="76"/>
      <c r="D104" s="77" t="s">
        <v>193</v>
      </c>
      <c r="E104" s="77" t="s">
        <v>4</v>
      </c>
      <c r="G104" s="78">
        <v>18</v>
      </c>
      <c r="P104" s="79"/>
    </row>
    <row r="105" spans="1:76">
      <c r="A105" s="1" t="s">
        <v>307</v>
      </c>
      <c r="B105" s="2" t="s">
        <v>4</v>
      </c>
      <c r="C105" s="2" t="s">
        <v>308</v>
      </c>
      <c r="D105" s="93" t="s">
        <v>309</v>
      </c>
      <c r="E105" s="90"/>
      <c r="F105" s="2" t="s">
        <v>140</v>
      </c>
      <c r="G105" s="42">
        <v>3.96</v>
      </c>
      <c r="H105" s="343"/>
      <c r="I105" s="74" t="s">
        <v>132</v>
      </c>
      <c r="J105" s="42">
        <f>G105*AO105</f>
        <v>0</v>
      </c>
      <c r="K105" s="42">
        <f>G105*AP105</f>
        <v>0</v>
      </c>
      <c r="L105" s="42">
        <f>G105*H105</f>
        <v>0</v>
      </c>
      <c r="M105" s="42">
        <f>L105*(1+BW105/100)</f>
        <v>0</v>
      </c>
      <c r="N105" s="42">
        <v>3.2000000000000003E-4</v>
      </c>
      <c r="O105" s="42">
        <f>G105*N105</f>
        <v>1.2672E-3</v>
      </c>
      <c r="P105" s="75" t="s">
        <v>133</v>
      </c>
      <c r="Z105" s="42">
        <f>IF(AQ105="5",BJ105,0)</f>
        <v>0</v>
      </c>
      <c r="AB105" s="42">
        <f>IF(AQ105="1",BH105,0)</f>
        <v>0</v>
      </c>
      <c r="AC105" s="42">
        <f>IF(AQ105="1",BI105,0)</f>
        <v>0</v>
      </c>
      <c r="AD105" s="42">
        <f>IF(AQ105="7",BH105,0)</f>
        <v>0</v>
      </c>
      <c r="AE105" s="42">
        <f>IF(AQ105="7",BI105,0)</f>
        <v>0</v>
      </c>
      <c r="AF105" s="42">
        <f>IF(AQ105="2",BH105,0)</f>
        <v>0</v>
      </c>
      <c r="AG105" s="42">
        <f>IF(AQ105="2",BI105,0)</f>
        <v>0</v>
      </c>
      <c r="AH105" s="42">
        <f>IF(AQ105="0",BJ105,0)</f>
        <v>0</v>
      </c>
      <c r="AI105" s="55" t="s">
        <v>4</v>
      </c>
      <c r="AJ105" s="42">
        <f>IF(AN105=0,L105,0)</f>
        <v>0</v>
      </c>
      <c r="AK105" s="42">
        <f>IF(AN105=12,L105,0)</f>
        <v>0</v>
      </c>
      <c r="AL105" s="42">
        <f>IF(AN105=21,L105,0)</f>
        <v>0</v>
      </c>
      <c r="AN105" s="42">
        <v>21</v>
      </c>
      <c r="AO105" s="42">
        <f>H105*0.266004746</f>
        <v>0</v>
      </c>
      <c r="AP105" s="42">
        <f>H105*(1-0.266004746)</f>
        <v>0</v>
      </c>
      <c r="AQ105" s="74" t="s">
        <v>165</v>
      </c>
      <c r="AV105" s="42">
        <f>AW105+AX105</f>
        <v>0</v>
      </c>
      <c r="AW105" s="42">
        <f>G105*AO105</f>
        <v>0</v>
      </c>
      <c r="AX105" s="42">
        <f>G105*AP105</f>
        <v>0</v>
      </c>
      <c r="AY105" s="74" t="s">
        <v>297</v>
      </c>
      <c r="AZ105" s="74" t="s">
        <v>298</v>
      </c>
      <c r="BA105" s="55" t="s">
        <v>136</v>
      </c>
      <c r="BC105" s="42">
        <f>AW105+AX105</f>
        <v>0</v>
      </c>
      <c r="BD105" s="42">
        <f>H105/(100-BE105)*100</f>
        <v>0</v>
      </c>
      <c r="BE105" s="42">
        <v>0</v>
      </c>
      <c r="BF105" s="42">
        <f>O105</f>
        <v>1.2672E-3</v>
      </c>
      <c r="BH105" s="42">
        <f>G105*AO105</f>
        <v>0</v>
      </c>
      <c r="BI105" s="42">
        <f>G105*AP105</f>
        <v>0</v>
      </c>
      <c r="BJ105" s="42">
        <f>G105*H105</f>
        <v>0</v>
      </c>
      <c r="BK105" s="42"/>
      <c r="BL105" s="42">
        <v>784</v>
      </c>
      <c r="BW105" s="42" t="str">
        <f>I105</f>
        <v>21</v>
      </c>
      <c r="BX105" s="3" t="s">
        <v>309</v>
      </c>
    </row>
    <row r="106" spans="1:76">
      <c r="A106" s="76"/>
      <c r="D106" s="77" t="s">
        <v>310</v>
      </c>
      <c r="E106" s="77" t="s">
        <v>4</v>
      </c>
      <c r="G106" s="78">
        <v>3.96</v>
      </c>
      <c r="P106" s="79"/>
    </row>
    <row r="107" spans="1:76">
      <c r="A107" s="1" t="s">
        <v>311</v>
      </c>
      <c r="B107" s="2" t="s">
        <v>4</v>
      </c>
      <c r="C107" s="2" t="s">
        <v>312</v>
      </c>
      <c r="D107" s="93" t="s">
        <v>313</v>
      </c>
      <c r="E107" s="90"/>
      <c r="F107" s="2" t="s">
        <v>140</v>
      </c>
      <c r="G107" s="42">
        <v>3.96</v>
      </c>
      <c r="H107" s="343"/>
      <c r="I107" s="74" t="s">
        <v>132</v>
      </c>
      <c r="J107" s="42">
        <f>G107*AO107</f>
        <v>0</v>
      </c>
      <c r="K107" s="42">
        <f>G107*AP107</f>
        <v>0</v>
      </c>
      <c r="L107" s="42">
        <f>G107*H107</f>
        <v>0</v>
      </c>
      <c r="M107" s="42">
        <f>L107*(1+BW107/100)</f>
        <v>0</v>
      </c>
      <c r="N107" s="42">
        <v>5.0000000000000002E-5</v>
      </c>
      <c r="O107" s="42">
        <f>G107*N107</f>
        <v>1.9800000000000002E-4</v>
      </c>
      <c r="P107" s="75" t="s">
        <v>133</v>
      </c>
      <c r="Z107" s="42">
        <f>IF(AQ107="5",BJ107,0)</f>
        <v>0</v>
      </c>
      <c r="AB107" s="42">
        <f>IF(AQ107="1",BH107,0)</f>
        <v>0</v>
      </c>
      <c r="AC107" s="42">
        <f>IF(AQ107="1",BI107,0)</f>
        <v>0</v>
      </c>
      <c r="AD107" s="42">
        <f>IF(AQ107="7",BH107,0)</f>
        <v>0</v>
      </c>
      <c r="AE107" s="42">
        <f>IF(AQ107="7",BI107,0)</f>
        <v>0</v>
      </c>
      <c r="AF107" s="42">
        <f>IF(AQ107="2",BH107,0)</f>
        <v>0</v>
      </c>
      <c r="AG107" s="42">
        <f>IF(AQ107="2",BI107,0)</f>
        <v>0</v>
      </c>
      <c r="AH107" s="42">
        <f>IF(AQ107="0",BJ107,0)</f>
        <v>0</v>
      </c>
      <c r="AI107" s="55" t="s">
        <v>4</v>
      </c>
      <c r="AJ107" s="42">
        <f>IF(AN107=0,L107,0)</f>
        <v>0</v>
      </c>
      <c r="AK107" s="42">
        <f>IF(AN107=12,L107,0)</f>
        <v>0</v>
      </c>
      <c r="AL107" s="42">
        <f>IF(AN107=21,L107,0)</f>
        <v>0</v>
      </c>
      <c r="AN107" s="42">
        <v>21</v>
      </c>
      <c r="AO107" s="42">
        <f>H107*0.153909465</f>
        <v>0</v>
      </c>
      <c r="AP107" s="42">
        <f>H107*(1-0.153909465)</f>
        <v>0</v>
      </c>
      <c r="AQ107" s="74" t="s">
        <v>165</v>
      </c>
      <c r="AV107" s="42">
        <f>AW107+AX107</f>
        <v>0</v>
      </c>
      <c r="AW107" s="42">
        <f>G107*AO107</f>
        <v>0</v>
      </c>
      <c r="AX107" s="42">
        <f>G107*AP107</f>
        <v>0</v>
      </c>
      <c r="AY107" s="74" t="s">
        <v>297</v>
      </c>
      <c r="AZ107" s="74" t="s">
        <v>298</v>
      </c>
      <c r="BA107" s="55" t="s">
        <v>136</v>
      </c>
      <c r="BC107" s="42">
        <f>AW107+AX107</f>
        <v>0</v>
      </c>
      <c r="BD107" s="42">
        <f>H107/(100-BE107)*100</f>
        <v>0</v>
      </c>
      <c r="BE107" s="42">
        <v>0</v>
      </c>
      <c r="BF107" s="42">
        <f>O107</f>
        <v>1.9800000000000002E-4</v>
      </c>
      <c r="BH107" s="42">
        <f>G107*AO107</f>
        <v>0</v>
      </c>
      <c r="BI107" s="42">
        <f>G107*AP107</f>
        <v>0</v>
      </c>
      <c r="BJ107" s="42">
        <f>G107*H107</f>
        <v>0</v>
      </c>
      <c r="BK107" s="42"/>
      <c r="BL107" s="42">
        <v>784</v>
      </c>
      <c r="BW107" s="42" t="str">
        <f>I107</f>
        <v>21</v>
      </c>
      <c r="BX107" s="3" t="s">
        <v>313</v>
      </c>
    </row>
    <row r="108" spans="1:76">
      <c r="A108" s="76"/>
      <c r="D108" s="77" t="s">
        <v>310</v>
      </c>
      <c r="E108" s="77" t="s">
        <v>4</v>
      </c>
      <c r="G108" s="78">
        <v>3.96</v>
      </c>
      <c r="P108" s="79"/>
    </row>
    <row r="109" spans="1:76">
      <c r="A109" s="70" t="s">
        <v>4</v>
      </c>
      <c r="B109" s="71" t="s">
        <v>4</v>
      </c>
      <c r="C109" s="71" t="s">
        <v>314</v>
      </c>
      <c r="D109" s="177" t="s">
        <v>315</v>
      </c>
      <c r="E109" s="178"/>
      <c r="F109" s="72" t="s">
        <v>72</v>
      </c>
      <c r="G109" s="72" t="s">
        <v>72</v>
      </c>
      <c r="H109" s="72" t="s">
        <v>72</v>
      </c>
      <c r="I109" s="72" t="s">
        <v>72</v>
      </c>
      <c r="J109" s="48">
        <f>SUM(J110:J110)</f>
        <v>0</v>
      </c>
      <c r="K109" s="48">
        <f>SUM(K110:K110)</f>
        <v>0</v>
      </c>
      <c r="L109" s="48">
        <f>SUM(L110:L110)</f>
        <v>0</v>
      </c>
      <c r="M109" s="48">
        <f>SUM(M110:M110)</f>
        <v>0</v>
      </c>
      <c r="N109" s="55" t="s">
        <v>4</v>
      </c>
      <c r="O109" s="48">
        <f>SUM(O110:O110)</f>
        <v>0</v>
      </c>
      <c r="P109" s="73" t="s">
        <v>4</v>
      </c>
      <c r="AI109" s="55" t="s">
        <v>4</v>
      </c>
      <c r="AS109" s="48">
        <f>SUM(AJ110:AJ110)</f>
        <v>0</v>
      </c>
      <c r="AT109" s="48">
        <f>SUM(AK110:AK110)</f>
        <v>0</v>
      </c>
      <c r="AU109" s="48">
        <f>SUM(AL110:AL110)</f>
        <v>0</v>
      </c>
    </row>
    <row r="110" spans="1:76">
      <c r="A110" s="1" t="s">
        <v>316</v>
      </c>
      <c r="B110" s="2" t="s">
        <v>4</v>
      </c>
      <c r="C110" s="2" t="s">
        <v>317</v>
      </c>
      <c r="D110" s="93" t="s">
        <v>318</v>
      </c>
      <c r="E110" s="90"/>
      <c r="F110" s="2" t="s">
        <v>319</v>
      </c>
      <c r="G110" s="42">
        <v>1.0000000000000001E-5</v>
      </c>
      <c r="H110" s="42">
        <f>VZT_rekapitulace!F34</f>
        <v>0</v>
      </c>
      <c r="I110" s="74" t="s">
        <v>132</v>
      </c>
      <c r="J110" s="42">
        <f>G110*AO110</f>
        <v>0</v>
      </c>
      <c r="K110" s="42">
        <f>G110*AP110</f>
        <v>0</v>
      </c>
      <c r="L110" s="42">
        <f>G110*H110</f>
        <v>0</v>
      </c>
      <c r="M110" s="42">
        <f>L110*(1+BW110/100)</f>
        <v>0</v>
      </c>
      <c r="N110" s="42">
        <v>0</v>
      </c>
      <c r="O110" s="42">
        <f>G110*N110</f>
        <v>0</v>
      </c>
      <c r="P110" s="75" t="s">
        <v>164</v>
      </c>
      <c r="Z110" s="42">
        <f>IF(AQ110="5",BJ110,0)</f>
        <v>0</v>
      </c>
      <c r="AB110" s="42">
        <f>IF(AQ110="1",BH110,0)</f>
        <v>0</v>
      </c>
      <c r="AC110" s="42">
        <f>IF(AQ110="1",BI110,0)</f>
        <v>0</v>
      </c>
      <c r="AD110" s="42">
        <f>IF(AQ110="7",BH110,0)</f>
        <v>0</v>
      </c>
      <c r="AE110" s="42">
        <f>IF(AQ110="7",BI110,0)</f>
        <v>0</v>
      </c>
      <c r="AF110" s="42">
        <f>IF(AQ110="2",BH110,0)</f>
        <v>0</v>
      </c>
      <c r="AG110" s="42">
        <f>IF(AQ110="2",BI110,0)</f>
        <v>0</v>
      </c>
      <c r="AH110" s="42">
        <f>IF(AQ110="0",BJ110,0)</f>
        <v>0</v>
      </c>
      <c r="AI110" s="55" t="s">
        <v>4</v>
      </c>
      <c r="AJ110" s="42">
        <f>IF(AN110=0,L110,0)</f>
        <v>0</v>
      </c>
      <c r="AK110" s="42">
        <f>IF(AN110=12,L110,0)</f>
        <v>0</v>
      </c>
      <c r="AL110" s="42">
        <f>IF(AN110=21,L110,0)</f>
        <v>0</v>
      </c>
      <c r="AN110" s="42">
        <v>21</v>
      </c>
      <c r="AO110" s="42">
        <f>H110*0</f>
        <v>0</v>
      </c>
      <c r="AP110" s="42">
        <f>H110*(1-0)</f>
        <v>0</v>
      </c>
      <c r="AQ110" s="74" t="s">
        <v>137</v>
      </c>
      <c r="AV110" s="42">
        <f>AW110+AX110</f>
        <v>0</v>
      </c>
      <c r="AW110" s="42">
        <f>G110*AO110</f>
        <v>0</v>
      </c>
      <c r="AX110" s="42">
        <f>G110*AP110</f>
        <v>0</v>
      </c>
      <c r="AY110" s="74" t="s">
        <v>320</v>
      </c>
      <c r="AZ110" s="74" t="s">
        <v>211</v>
      </c>
      <c r="BA110" s="55" t="s">
        <v>136</v>
      </c>
      <c r="BC110" s="42">
        <f>AW110+AX110</f>
        <v>0</v>
      </c>
      <c r="BD110" s="42">
        <f>H110/(100-BE110)*100</f>
        <v>0</v>
      </c>
      <c r="BE110" s="42">
        <v>0</v>
      </c>
      <c r="BF110" s="42">
        <f>O110</f>
        <v>0</v>
      </c>
      <c r="BH110" s="42">
        <f>G110*AO110</f>
        <v>0</v>
      </c>
      <c r="BI110" s="42">
        <f>G110*AP110</f>
        <v>0</v>
      </c>
      <c r="BJ110" s="42">
        <f>G110*H110</f>
        <v>0</v>
      </c>
      <c r="BK110" s="42"/>
      <c r="BL110" s="42"/>
      <c r="BW110" s="42" t="str">
        <f>I110</f>
        <v>21</v>
      </c>
      <c r="BX110" s="3" t="s">
        <v>318</v>
      </c>
    </row>
    <row r="111" spans="1:76">
      <c r="A111" s="76"/>
      <c r="D111" s="77" t="s">
        <v>321</v>
      </c>
      <c r="E111" s="77" t="s">
        <v>4</v>
      </c>
      <c r="G111" s="78">
        <v>1.0000000000000001E-5</v>
      </c>
      <c r="P111" s="79"/>
    </row>
    <row r="112" spans="1:76">
      <c r="A112" s="70" t="s">
        <v>4</v>
      </c>
      <c r="B112" s="71" t="s">
        <v>4</v>
      </c>
      <c r="C112" s="71" t="s">
        <v>322</v>
      </c>
      <c r="D112" s="177" t="s">
        <v>323</v>
      </c>
      <c r="E112" s="178"/>
      <c r="F112" s="72" t="s">
        <v>72</v>
      </c>
      <c r="G112" s="72" t="s">
        <v>72</v>
      </c>
      <c r="H112" s="72" t="s">
        <v>72</v>
      </c>
      <c r="I112" s="72" t="s">
        <v>72</v>
      </c>
      <c r="J112" s="48">
        <f>SUM(J113:J113)</f>
        <v>0</v>
      </c>
      <c r="K112" s="48">
        <f>SUM(K113:K113)</f>
        <v>0</v>
      </c>
      <c r="L112" s="48">
        <f>SUM(L113:L113)</f>
        <v>0</v>
      </c>
      <c r="M112" s="48">
        <f>SUM(M113:M113)</f>
        <v>0</v>
      </c>
      <c r="N112" s="55" t="s">
        <v>4</v>
      </c>
      <c r="O112" s="48">
        <f>SUM(O113:O113)</f>
        <v>0</v>
      </c>
      <c r="P112" s="73" t="s">
        <v>4</v>
      </c>
      <c r="AI112" s="55" t="s">
        <v>4</v>
      </c>
      <c r="AS112" s="48">
        <f>SUM(AJ113:AJ113)</f>
        <v>0</v>
      </c>
      <c r="AT112" s="48">
        <f>SUM(AK113:AK113)</f>
        <v>0</v>
      </c>
      <c r="AU112" s="48">
        <f>SUM(AL113:AL113)</f>
        <v>0</v>
      </c>
    </row>
    <row r="113" spans="1:76">
      <c r="A113" s="1" t="s">
        <v>324</v>
      </c>
      <c r="B113" s="2" t="s">
        <v>4</v>
      </c>
      <c r="C113" s="2" t="s">
        <v>325</v>
      </c>
      <c r="D113" s="93" t="s">
        <v>326</v>
      </c>
      <c r="E113" s="90"/>
      <c r="F113" s="2" t="s">
        <v>319</v>
      </c>
      <c r="G113" s="42">
        <v>1.0000000000000001E-5</v>
      </c>
      <c r="H113" s="42">
        <f>EL!F37</f>
        <v>0</v>
      </c>
      <c r="I113" s="74" t="s">
        <v>132</v>
      </c>
      <c r="J113" s="42">
        <f>G113*AO113</f>
        <v>0</v>
      </c>
      <c r="K113" s="42">
        <f>G113*AP113</f>
        <v>0</v>
      </c>
      <c r="L113" s="42">
        <f>G113*H113</f>
        <v>0</v>
      </c>
      <c r="M113" s="42">
        <f>L113*(1+BW113/100)</f>
        <v>0</v>
      </c>
      <c r="N113" s="42">
        <v>0</v>
      </c>
      <c r="O113" s="42">
        <f>G113*N113</f>
        <v>0</v>
      </c>
      <c r="P113" s="75" t="s">
        <v>164</v>
      </c>
      <c r="Z113" s="42">
        <f>IF(AQ113="5",BJ113,0)</f>
        <v>0</v>
      </c>
      <c r="AB113" s="42">
        <f>IF(AQ113="1",BH113,0)</f>
        <v>0</v>
      </c>
      <c r="AC113" s="42">
        <f>IF(AQ113="1",BI113,0)</f>
        <v>0</v>
      </c>
      <c r="AD113" s="42">
        <f>IF(AQ113="7",BH113,0)</f>
        <v>0</v>
      </c>
      <c r="AE113" s="42">
        <f>IF(AQ113="7",BI113,0)</f>
        <v>0</v>
      </c>
      <c r="AF113" s="42">
        <f>IF(AQ113="2",BH113,0)</f>
        <v>0</v>
      </c>
      <c r="AG113" s="42">
        <f>IF(AQ113="2",BI113,0)</f>
        <v>0</v>
      </c>
      <c r="AH113" s="42">
        <f>IF(AQ113="0",BJ113,0)</f>
        <v>0</v>
      </c>
      <c r="AI113" s="55" t="s">
        <v>4</v>
      </c>
      <c r="AJ113" s="42">
        <f>IF(AN113=0,L113,0)</f>
        <v>0</v>
      </c>
      <c r="AK113" s="42">
        <f>IF(AN113=12,L113,0)</f>
        <v>0</v>
      </c>
      <c r="AL113" s="42">
        <f>IF(AN113=21,L113,0)</f>
        <v>0</v>
      </c>
      <c r="AN113" s="42">
        <v>21</v>
      </c>
      <c r="AO113" s="42">
        <f>H113*0</f>
        <v>0</v>
      </c>
      <c r="AP113" s="42">
        <f>H113*(1-0)</f>
        <v>0</v>
      </c>
      <c r="AQ113" s="74" t="s">
        <v>137</v>
      </c>
      <c r="AV113" s="42">
        <f>AW113+AX113</f>
        <v>0</v>
      </c>
      <c r="AW113" s="42">
        <f>G113*AO113</f>
        <v>0</v>
      </c>
      <c r="AX113" s="42">
        <f>G113*AP113</f>
        <v>0</v>
      </c>
      <c r="AY113" s="74" t="s">
        <v>327</v>
      </c>
      <c r="AZ113" s="74" t="s">
        <v>211</v>
      </c>
      <c r="BA113" s="55" t="s">
        <v>136</v>
      </c>
      <c r="BC113" s="42">
        <f>AW113+AX113</f>
        <v>0</v>
      </c>
      <c r="BD113" s="42">
        <f>H113/(100-BE113)*100</f>
        <v>0</v>
      </c>
      <c r="BE113" s="42">
        <v>0</v>
      </c>
      <c r="BF113" s="42">
        <f>O113</f>
        <v>0</v>
      </c>
      <c r="BH113" s="42">
        <f>G113*AO113</f>
        <v>0</v>
      </c>
      <c r="BI113" s="42">
        <f>G113*AP113</f>
        <v>0</v>
      </c>
      <c r="BJ113" s="42">
        <f>G113*H113</f>
        <v>0</v>
      </c>
      <c r="BK113" s="42"/>
      <c r="BL113" s="42"/>
      <c r="BW113" s="42" t="str">
        <f>I113</f>
        <v>21</v>
      </c>
      <c r="BX113" s="3" t="s">
        <v>326</v>
      </c>
    </row>
    <row r="114" spans="1:76">
      <c r="A114" s="80"/>
      <c r="B114" s="81"/>
      <c r="C114" s="81"/>
      <c r="D114" s="82" t="s">
        <v>321</v>
      </c>
      <c r="E114" s="82" t="s">
        <v>4</v>
      </c>
      <c r="F114" s="81"/>
      <c r="G114" s="83">
        <v>1.0000000000000001E-5</v>
      </c>
      <c r="H114" s="81"/>
      <c r="I114" s="81"/>
      <c r="J114" s="81"/>
      <c r="K114" s="81"/>
      <c r="L114" s="81"/>
      <c r="M114" s="81"/>
      <c r="N114" s="81"/>
      <c r="O114" s="81"/>
      <c r="P114" s="84"/>
    </row>
    <row r="115" spans="1:76">
      <c r="J115" s="169" t="s">
        <v>93</v>
      </c>
      <c r="K115" s="169"/>
      <c r="L115" s="46">
        <f>ROUND(L13+L20+L23+L60+L66+L78+L91+L98+L109+L112,0)</f>
        <v>0</v>
      </c>
      <c r="M115" s="46">
        <f>ROUND(M13+M20+M23+M60+M66+M78+M91+M98+M109+M112,0)</f>
        <v>0</v>
      </c>
    </row>
    <row r="116" spans="1:76">
      <c r="A116" s="47" t="s">
        <v>56</v>
      </c>
    </row>
    <row r="117" spans="1:76" ht="12.75" customHeight="1">
      <c r="A117" s="93" t="s">
        <v>4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</row>
  </sheetData>
  <sheetProtection sheet="1" objects="1" scenarios="1" selectLockedCells="1"/>
  <mergeCells count="88">
    <mergeCell ref="J115:K115"/>
    <mergeCell ref="A117:P117"/>
    <mergeCell ref="D107:E107"/>
    <mergeCell ref="D109:E109"/>
    <mergeCell ref="D110:E110"/>
    <mergeCell ref="D112:E112"/>
    <mergeCell ref="D113:E113"/>
    <mergeCell ref="D98:E98"/>
    <mergeCell ref="D99:E99"/>
    <mergeCell ref="D101:E101"/>
    <mergeCell ref="D103:E103"/>
    <mergeCell ref="D105:E105"/>
    <mergeCell ref="D89:E89"/>
    <mergeCell ref="D91:E91"/>
    <mergeCell ref="D92:E92"/>
    <mergeCell ref="D94:E94"/>
    <mergeCell ref="D96:E96"/>
    <mergeCell ref="D79:E79"/>
    <mergeCell ref="D81:E81"/>
    <mergeCell ref="D82:E82"/>
    <mergeCell ref="D84:E84"/>
    <mergeCell ref="D87:E87"/>
    <mergeCell ref="D69:E69"/>
    <mergeCell ref="D71:E71"/>
    <mergeCell ref="D73:E73"/>
    <mergeCell ref="D75:E75"/>
    <mergeCell ref="D78:E78"/>
    <mergeCell ref="D61:E61"/>
    <mergeCell ref="D63:E63"/>
    <mergeCell ref="D65:E65"/>
    <mergeCell ref="D66:E66"/>
    <mergeCell ref="D67:E67"/>
    <mergeCell ref="D52:E52"/>
    <mergeCell ref="D54:E54"/>
    <mergeCell ref="D56:E56"/>
    <mergeCell ref="D58:E58"/>
    <mergeCell ref="D60:E60"/>
    <mergeCell ref="D42:E42"/>
    <mergeCell ref="D44:E44"/>
    <mergeCell ref="D46:E46"/>
    <mergeCell ref="D48:E48"/>
    <mergeCell ref="D50:E50"/>
    <mergeCell ref="D32:E32"/>
    <mergeCell ref="D34:E34"/>
    <mergeCell ref="D36:E36"/>
    <mergeCell ref="D38:E38"/>
    <mergeCell ref="D40:E40"/>
    <mergeCell ref="D23:E23"/>
    <mergeCell ref="D24:E24"/>
    <mergeCell ref="D26:E26"/>
    <mergeCell ref="D28:E28"/>
    <mergeCell ref="D30:E30"/>
    <mergeCell ref="D14:E14"/>
    <mergeCell ref="D16:E16"/>
    <mergeCell ref="D18:E18"/>
    <mergeCell ref="D20:E20"/>
    <mergeCell ref="D21:E21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scale="5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activeCell="D16" sqref="D16:D25"/>
    </sheetView>
  </sheetViews>
  <sheetFormatPr defaultRowHeight="15"/>
  <cols>
    <col min="1" max="1" width="52.28515625" style="237" customWidth="1"/>
    <col min="2" max="2" width="5.42578125" style="237" bestFit="1" customWidth="1"/>
    <col min="3" max="5" width="9.140625" style="237"/>
    <col min="6" max="6" width="9.140625" style="299"/>
    <col min="7" max="7" width="11.7109375" style="299" bestFit="1" customWidth="1"/>
    <col min="8" max="8" width="9.140625" style="299"/>
    <col min="9" max="16384" width="9.140625" style="237"/>
  </cols>
  <sheetData>
    <row r="1" spans="1:10" ht="15.75" thickBot="1">
      <c r="A1" s="303"/>
      <c r="F1" s="237"/>
      <c r="G1" s="237"/>
      <c r="H1" s="237"/>
    </row>
    <row r="2" spans="1:10" ht="19.5" thickTop="1" thickBot="1">
      <c r="A2" s="304" t="s">
        <v>406</v>
      </c>
      <c r="B2" s="305"/>
      <c r="C2" s="305"/>
      <c r="D2" s="305"/>
      <c r="E2" s="306" t="s">
        <v>407</v>
      </c>
      <c r="F2" s="307" t="s">
        <v>408</v>
      </c>
      <c r="G2" s="308"/>
      <c r="H2" s="309"/>
    </row>
    <row r="3" spans="1:10" ht="15.75" thickTop="1">
      <c r="F3" s="237"/>
      <c r="G3" s="237"/>
      <c r="H3" s="237"/>
    </row>
    <row r="4" spans="1:10" ht="15.75">
      <c r="A4" s="310"/>
      <c r="B4" s="310"/>
      <c r="C4" s="311"/>
      <c r="D4" s="311"/>
      <c r="E4" s="311"/>
      <c r="F4" s="311"/>
      <c r="G4" s="311"/>
      <c r="H4" s="312"/>
    </row>
    <row r="5" spans="1:10">
      <c r="F5" s="251"/>
      <c r="G5" s="251"/>
      <c r="H5" s="251"/>
    </row>
    <row r="6" spans="1:10">
      <c r="F6" s="313" t="s">
        <v>78</v>
      </c>
      <c r="G6" s="313" t="s">
        <v>26</v>
      </c>
      <c r="H6" s="313"/>
    </row>
    <row r="7" spans="1:10">
      <c r="A7" s="314" t="str">
        <f>[1]SSZ!B9</f>
        <v>Zař.č.20,20A - CHUC B</v>
      </c>
      <c r="F7" s="312">
        <f>VZT!H34</f>
        <v>0</v>
      </c>
      <c r="G7" s="312">
        <f>VZT!I34</f>
        <v>0</v>
      </c>
      <c r="H7" s="312"/>
    </row>
    <row r="8" spans="1:10" s="316" customFormat="1">
      <c r="A8" s="315"/>
      <c r="F8" s="317"/>
      <c r="G8" s="317"/>
      <c r="H8" s="317"/>
    </row>
    <row r="9" spans="1:10">
      <c r="A9" s="237" t="s">
        <v>341</v>
      </c>
      <c r="F9" s="318">
        <f>SUM(F7:F8)</f>
        <v>0</v>
      </c>
      <c r="G9" s="318">
        <f>SUM(G7:G8)</f>
        <v>0</v>
      </c>
      <c r="H9" s="319"/>
    </row>
    <row r="10" spans="1:10">
      <c r="B10" s="320"/>
      <c r="C10" s="321"/>
      <c r="D10" s="322"/>
      <c r="E10" s="321"/>
      <c r="F10" s="312"/>
    </row>
    <row r="11" spans="1:10">
      <c r="B11" s="321"/>
      <c r="C11" s="321"/>
      <c r="D11" s="323"/>
      <c r="E11" s="321"/>
      <c r="F11" s="312"/>
      <c r="G11" s="312"/>
      <c r="H11" s="312"/>
    </row>
    <row r="12" spans="1:10">
      <c r="A12" s="237" t="s">
        <v>409</v>
      </c>
      <c r="B12" s="320">
        <v>0.06</v>
      </c>
      <c r="C12" s="321"/>
      <c r="D12" s="323"/>
      <c r="E12" s="321"/>
      <c r="F12" s="312">
        <f>F9*B12</f>
        <v>0</v>
      </c>
      <c r="G12" s="312"/>
      <c r="H12" s="312"/>
    </row>
    <row r="13" spans="1:10">
      <c r="F13" s="312"/>
      <c r="G13" s="312"/>
      <c r="H13" s="312"/>
    </row>
    <row r="14" spans="1:10">
      <c r="A14" s="324" t="s">
        <v>410</v>
      </c>
      <c r="B14" s="311"/>
      <c r="C14" s="311"/>
      <c r="D14" s="311"/>
      <c r="E14" s="311"/>
      <c r="F14" s="325">
        <f>SUM(F9:F12)</f>
        <v>0</v>
      </c>
      <c r="G14" s="325">
        <f>SUM(G9:G12)</f>
        <v>0</v>
      </c>
      <c r="H14" s="312"/>
    </row>
    <row r="15" spans="1:10">
      <c r="B15" s="321"/>
      <c r="C15" s="321"/>
      <c r="D15" s="323"/>
      <c r="E15" s="321"/>
      <c r="F15" s="326"/>
      <c r="G15" s="312"/>
      <c r="H15" s="312"/>
      <c r="J15" s="312"/>
    </row>
    <row r="16" spans="1:10">
      <c r="A16" s="237" t="s">
        <v>411</v>
      </c>
      <c r="B16" s="321">
        <v>40</v>
      </c>
      <c r="C16" s="321" t="s">
        <v>360</v>
      </c>
      <c r="D16" s="341"/>
      <c r="E16" s="321" t="s">
        <v>412</v>
      </c>
      <c r="F16" s="312"/>
      <c r="G16" s="312">
        <f t="shared" ref="G16:G25" si="0">B16*D16</f>
        <v>0</v>
      </c>
      <c r="H16" s="312"/>
      <c r="J16" s="312"/>
    </row>
    <row r="17" spans="1:10">
      <c r="A17" s="237" t="s">
        <v>413</v>
      </c>
      <c r="B17" s="321">
        <v>2</v>
      </c>
      <c r="C17" s="321" t="s">
        <v>360</v>
      </c>
      <c r="D17" s="341"/>
      <c r="E17" s="321" t="s">
        <v>412</v>
      </c>
      <c r="F17" s="312"/>
      <c r="G17" s="312">
        <f t="shared" si="0"/>
        <v>0</v>
      </c>
      <c r="H17" s="312"/>
      <c r="J17" s="312"/>
    </row>
    <row r="18" spans="1:10">
      <c r="A18" s="327" t="s">
        <v>414</v>
      </c>
      <c r="B18" s="321">
        <v>1</v>
      </c>
      <c r="C18" s="321" t="s">
        <v>357</v>
      </c>
      <c r="D18" s="341"/>
      <c r="E18" s="321" t="s">
        <v>412</v>
      </c>
      <c r="F18" s="312"/>
      <c r="G18" s="312">
        <f>B18*D18</f>
        <v>0</v>
      </c>
      <c r="H18" s="312"/>
      <c r="J18" s="312"/>
    </row>
    <row r="19" spans="1:10">
      <c r="A19" s="237" t="s">
        <v>415</v>
      </c>
      <c r="B19" s="328">
        <v>1</v>
      </c>
      <c r="C19" s="321" t="s">
        <v>357</v>
      </c>
      <c r="D19" s="342"/>
      <c r="E19" s="321" t="s">
        <v>412</v>
      </c>
      <c r="F19" s="312"/>
      <c r="G19" s="312">
        <f>B19*D19</f>
        <v>0</v>
      </c>
      <c r="H19" s="312"/>
      <c r="J19" s="312"/>
    </row>
    <row r="20" spans="1:10">
      <c r="A20" s="237" t="s">
        <v>416</v>
      </c>
      <c r="B20" s="321">
        <v>1</v>
      </c>
      <c r="C20" s="321" t="s">
        <v>357</v>
      </c>
      <c r="D20" s="341"/>
      <c r="E20" s="321" t="s">
        <v>412</v>
      </c>
      <c r="F20" s="312"/>
      <c r="G20" s="312">
        <f>B20*D20</f>
        <v>0</v>
      </c>
      <c r="H20" s="312"/>
      <c r="J20" s="312"/>
    </row>
    <row r="21" spans="1:10" ht="30">
      <c r="A21" s="329" t="s">
        <v>417</v>
      </c>
      <c r="B21" s="321">
        <v>1</v>
      </c>
      <c r="C21" s="321" t="s">
        <v>357</v>
      </c>
      <c r="D21" s="341"/>
      <c r="E21" s="321" t="s">
        <v>412</v>
      </c>
      <c r="F21" s="312"/>
      <c r="G21" s="312">
        <f t="shared" si="0"/>
        <v>0</v>
      </c>
      <c r="H21" s="237"/>
    </row>
    <row r="22" spans="1:10">
      <c r="A22" s="237" t="s">
        <v>418</v>
      </c>
      <c r="B22" s="321">
        <v>1</v>
      </c>
      <c r="C22" s="321" t="s">
        <v>357</v>
      </c>
      <c r="D22" s="341"/>
      <c r="E22" s="321" t="s">
        <v>412</v>
      </c>
      <c r="F22" s="312"/>
      <c r="G22" s="312">
        <f t="shared" si="0"/>
        <v>0</v>
      </c>
      <c r="H22" s="237"/>
    </row>
    <row r="23" spans="1:10" ht="24">
      <c r="A23" s="327" t="s">
        <v>419</v>
      </c>
      <c r="B23" s="321">
        <v>1</v>
      </c>
      <c r="C23" s="321" t="s">
        <v>357</v>
      </c>
      <c r="D23" s="341"/>
      <c r="E23" s="321" t="s">
        <v>412</v>
      </c>
      <c r="F23" s="312"/>
      <c r="G23" s="312">
        <f t="shared" si="0"/>
        <v>0</v>
      </c>
      <c r="H23" s="237"/>
    </row>
    <row r="24" spans="1:10">
      <c r="A24" s="330" t="s">
        <v>420</v>
      </c>
      <c r="B24" s="321">
        <v>2</v>
      </c>
      <c r="C24" s="321" t="s">
        <v>360</v>
      </c>
      <c r="D24" s="341"/>
      <c r="E24" s="321" t="s">
        <v>412</v>
      </c>
      <c r="F24" s="237"/>
      <c r="G24" s="312">
        <f t="shared" si="0"/>
        <v>0</v>
      </c>
      <c r="H24" s="237"/>
    </row>
    <row r="25" spans="1:10">
      <c r="A25" s="237" t="s">
        <v>421</v>
      </c>
      <c r="B25" s="328">
        <v>6</v>
      </c>
      <c r="C25" s="321" t="s">
        <v>360</v>
      </c>
      <c r="D25" s="341"/>
      <c r="E25" s="321" t="s">
        <v>412</v>
      </c>
      <c r="F25" s="312"/>
      <c r="G25" s="312">
        <f t="shared" si="0"/>
        <v>0</v>
      </c>
      <c r="H25" s="237"/>
    </row>
    <row r="26" spans="1:10">
      <c r="F26" s="237"/>
      <c r="G26" s="237"/>
      <c r="H26" s="237"/>
    </row>
    <row r="27" spans="1:10">
      <c r="A27" s="324" t="s">
        <v>422</v>
      </c>
      <c r="C27" s="311"/>
      <c r="D27" s="311"/>
      <c r="E27" s="311"/>
      <c r="F27" s="331"/>
      <c r="G27" s="325">
        <f>SUM(G15:G26)</f>
        <v>0</v>
      </c>
      <c r="H27" s="312"/>
    </row>
    <row r="28" spans="1:10">
      <c r="A28" s="303"/>
      <c r="F28" s="312"/>
      <c r="G28" s="312"/>
      <c r="H28" s="312"/>
    </row>
    <row r="29" spans="1:10">
      <c r="A29" s="332" t="s">
        <v>398</v>
      </c>
      <c r="F29" s="312">
        <f>VZT!H49</f>
        <v>0</v>
      </c>
      <c r="G29" s="312">
        <f>VZT!I49</f>
        <v>0</v>
      </c>
      <c r="H29" s="312"/>
    </row>
    <row r="30" spans="1:10">
      <c r="A30" s="235"/>
    </row>
    <row r="31" spans="1:10">
      <c r="A31" s="324" t="s">
        <v>341</v>
      </c>
      <c r="B31" s="311"/>
      <c r="C31" s="311"/>
      <c r="D31" s="311"/>
      <c r="E31" s="311"/>
      <c r="F31" s="325">
        <f>SUM(F14:F29)</f>
        <v>0</v>
      </c>
      <c r="G31" s="325">
        <f>G14+G27+G29</f>
        <v>0</v>
      </c>
      <c r="H31" s="312"/>
    </row>
    <row r="32" spans="1:10">
      <c r="F32" s="326"/>
      <c r="G32" s="333"/>
      <c r="H32" s="333"/>
    </row>
    <row r="33" spans="1:8">
      <c r="F33" s="312"/>
      <c r="G33" s="312"/>
      <c r="H33" s="312"/>
    </row>
    <row r="34" spans="1:8">
      <c r="A34" s="334" t="s">
        <v>423</v>
      </c>
      <c r="B34" s="311"/>
      <c r="C34" s="311"/>
      <c r="D34" s="311"/>
      <c r="E34" s="311"/>
      <c r="F34" s="335">
        <f>F31+G31</f>
        <v>0</v>
      </c>
      <c r="G34" s="335"/>
      <c r="H34" s="312"/>
    </row>
  </sheetData>
  <sheetProtection sheet="1" objects="1" scenarios="1" selectLockedCells="1"/>
  <mergeCells count="1">
    <mergeCell ref="A4:B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0"/>
  <sheetViews>
    <sheetView topLeftCell="A11" workbookViewId="0">
      <selection activeCell="E44" sqref="E44"/>
    </sheetView>
  </sheetViews>
  <sheetFormatPr defaultRowHeight="15"/>
  <cols>
    <col min="1" max="1" width="9.140625" style="235"/>
    <col min="2" max="2" width="42" style="236" customWidth="1"/>
    <col min="3" max="3" width="9.140625" style="251"/>
    <col min="4" max="4" width="4.85546875" style="235" bestFit="1" customWidth="1"/>
    <col min="5" max="5" width="19" style="298" bestFit="1" customWidth="1"/>
    <col min="6" max="6" width="7.42578125" style="299" bestFit="1" customWidth="1"/>
    <col min="7" max="7" width="12" style="298" customWidth="1"/>
    <col min="8" max="8" width="13.42578125" style="298" customWidth="1"/>
    <col min="9" max="9" width="12.42578125" style="298" customWidth="1"/>
    <col min="10" max="16384" width="9.140625" style="237"/>
  </cols>
  <sheetData>
    <row r="1" spans="1:10" ht="15.75" thickBot="1">
      <c r="B1" s="235"/>
      <c r="C1" s="236"/>
      <c r="D1" s="237"/>
      <c r="E1" s="238"/>
      <c r="F1" s="239"/>
      <c r="G1" s="240"/>
      <c r="H1" s="240"/>
      <c r="I1" s="240"/>
      <c r="J1" s="241"/>
    </row>
    <row r="2" spans="1:10" ht="15.75" thickTop="1">
      <c r="A2" s="242" t="s">
        <v>364</v>
      </c>
      <c r="B2" s="243" t="s">
        <v>365</v>
      </c>
      <c r="C2" s="242" t="s">
        <v>366</v>
      </c>
      <c r="D2" s="244" t="s">
        <v>367</v>
      </c>
      <c r="E2" s="245" t="s">
        <v>368</v>
      </c>
      <c r="F2" s="246" t="s">
        <v>369</v>
      </c>
      <c r="G2" s="245" t="s">
        <v>370</v>
      </c>
      <c r="H2" s="245" t="s">
        <v>371</v>
      </c>
      <c r="I2" s="245" t="s">
        <v>372</v>
      </c>
    </row>
    <row r="3" spans="1:10" ht="15.75" thickBot="1">
      <c r="A3" s="247"/>
      <c r="B3" s="248"/>
      <c r="C3" s="249"/>
      <c r="D3" s="248"/>
      <c r="E3" s="250"/>
      <c r="F3" s="250"/>
      <c r="G3" s="250"/>
      <c r="H3" s="250"/>
      <c r="I3" s="250"/>
    </row>
    <row r="4" spans="1:10" ht="15.75" thickTop="1">
      <c r="A4" s="251"/>
      <c r="B4" s="252"/>
      <c r="D4" s="252"/>
      <c r="E4" s="253"/>
      <c r="F4" s="254"/>
      <c r="G4" s="255"/>
      <c r="H4" s="253"/>
      <c r="I4" s="255"/>
    </row>
    <row r="5" spans="1:10" ht="90">
      <c r="A5" s="251"/>
      <c r="B5" s="256" t="s">
        <v>373</v>
      </c>
      <c r="D5" s="252"/>
      <c r="E5" s="253"/>
      <c r="F5" s="254"/>
      <c r="G5" s="255"/>
      <c r="H5" s="253"/>
      <c r="I5" s="255"/>
    </row>
    <row r="6" spans="1:10" ht="45">
      <c r="A6" s="251"/>
      <c r="B6" s="257" t="s">
        <v>374</v>
      </c>
      <c r="D6" s="252"/>
      <c r="E6" s="253"/>
      <c r="F6" s="254"/>
      <c r="G6" s="255"/>
      <c r="H6" s="253"/>
      <c r="I6" s="255"/>
    </row>
    <row r="7" spans="1:10">
      <c r="A7" s="251"/>
      <c r="B7" s="252"/>
      <c r="D7" s="252"/>
      <c r="E7" s="253"/>
      <c r="F7" s="254"/>
      <c r="G7" s="255"/>
      <c r="H7" s="253"/>
      <c r="I7" s="255"/>
    </row>
    <row r="8" spans="1:10">
      <c r="A8" s="258"/>
      <c r="B8" s="257"/>
      <c r="C8" s="259"/>
      <c r="D8" s="259"/>
      <c r="E8" s="260"/>
      <c r="F8" s="261"/>
      <c r="G8" s="262"/>
      <c r="H8" s="260"/>
      <c r="I8" s="263"/>
    </row>
    <row r="9" spans="1:10">
      <c r="A9" s="264"/>
      <c r="B9" s="265" t="s">
        <v>375</v>
      </c>
      <c r="C9" s="266"/>
      <c r="D9" s="267"/>
      <c r="E9" s="268"/>
      <c r="F9" s="269"/>
      <c r="G9" s="270"/>
      <c r="H9" s="270"/>
      <c r="I9" s="270"/>
      <c r="J9" s="271"/>
    </row>
    <row r="10" spans="1:10">
      <c r="A10" s="264"/>
      <c r="B10" s="268"/>
      <c r="C10" s="266"/>
      <c r="D10" s="267"/>
      <c r="E10" s="268"/>
      <c r="F10" s="269"/>
      <c r="G10" s="270"/>
      <c r="H10" s="270"/>
      <c r="I10" s="270"/>
      <c r="J10" s="271"/>
    </row>
    <row r="11" spans="1:10" ht="34.5">
      <c r="A11" s="272" t="s">
        <v>376</v>
      </c>
      <c r="B11" s="273" t="s">
        <v>377</v>
      </c>
      <c r="C11" s="274" t="s">
        <v>339</v>
      </c>
      <c r="D11" s="274">
        <v>1</v>
      </c>
      <c r="E11" s="300"/>
      <c r="F11" s="276"/>
      <c r="G11" s="277"/>
      <c r="H11" s="262">
        <f>E11*D11</f>
        <v>0</v>
      </c>
      <c r="I11" s="277"/>
    </row>
    <row r="12" spans="1:10">
      <c r="A12" s="272"/>
      <c r="B12" s="278"/>
      <c r="C12" s="274"/>
      <c r="D12" s="274"/>
      <c r="E12" s="260"/>
      <c r="F12" s="261">
        <v>10</v>
      </c>
      <c r="G12" s="336">
        <f>ROUND(E11*F12/100,0)</f>
        <v>0</v>
      </c>
      <c r="H12" s="260"/>
      <c r="I12" s="263">
        <f>G12*D11</f>
        <v>0</v>
      </c>
    </row>
    <row r="13" spans="1:10" ht="33.75">
      <c r="A13" s="272" t="s">
        <v>378</v>
      </c>
      <c r="B13" s="257" t="s">
        <v>379</v>
      </c>
      <c r="C13" s="279" t="s">
        <v>339</v>
      </c>
      <c r="D13" s="280">
        <v>1</v>
      </c>
      <c r="E13" s="301"/>
      <c r="F13" s="281"/>
      <c r="G13" s="282"/>
      <c r="H13" s="283">
        <f>E13*D13</f>
        <v>0</v>
      </c>
      <c r="I13" s="282"/>
    </row>
    <row r="14" spans="1:10">
      <c r="A14" s="272"/>
      <c r="B14" s="284"/>
      <c r="C14" s="285"/>
      <c r="D14" s="258"/>
      <c r="E14" s="260"/>
      <c r="F14" s="261">
        <v>25</v>
      </c>
      <c r="G14" s="336">
        <f>ROUND(E13*F14/100,0)</f>
        <v>0</v>
      </c>
      <c r="H14" s="260"/>
      <c r="I14" s="263">
        <f>G14*D13</f>
        <v>0</v>
      </c>
    </row>
    <row r="15" spans="1:10" ht="56.25">
      <c r="A15" s="272" t="s">
        <v>380</v>
      </c>
      <c r="B15" s="257" t="s">
        <v>381</v>
      </c>
      <c r="C15" s="274" t="s">
        <v>339</v>
      </c>
      <c r="D15" s="274">
        <v>1</v>
      </c>
      <c r="E15" s="300"/>
      <c r="F15" s="276"/>
      <c r="G15" s="337"/>
      <c r="H15" s="262">
        <f>E15*D15</f>
        <v>0</v>
      </c>
      <c r="I15" s="277"/>
    </row>
    <row r="16" spans="1:10">
      <c r="A16" s="272"/>
      <c r="B16" s="257"/>
      <c r="C16" s="274"/>
      <c r="D16" s="274"/>
      <c r="E16" s="260"/>
      <c r="F16" s="261">
        <v>25</v>
      </c>
      <c r="G16" s="336">
        <f>ROUND(E15*F16/100,0)</f>
        <v>0</v>
      </c>
      <c r="H16" s="260"/>
      <c r="I16" s="263">
        <f>G16*D15</f>
        <v>0</v>
      </c>
    </row>
    <row r="17" spans="1:9" ht="33.75">
      <c r="A17" s="272" t="s">
        <v>382</v>
      </c>
      <c r="B17" s="257" t="s">
        <v>383</v>
      </c>
      <c r="C17" s="274" t="s">
        <v>339</v>
      </c>
      <c r="D17" s="274">
        <v>1</v>
      </c>
      <c r="E17" s="300"/>
      <c r="F17" s="276"/>
      <c r="G17" s="337"/>
      <c r="H17" s="262">
        <f>E17*D17</f>
        <v>0</v>
      </c>
      <c r="I17" s="277"/>
    </row>
    <row r="18" spans="1:9">
      <c r="A18" s="272"/>
      <c r="B18" s="257"/>
      <c r="C18" s="274"/>
      <c r="D18" s="274"/>
      <c r="E18" s="260"/>
      <c r="F18" s="261">
        <v>25</v>
      </c>
      <c r="G18" s="336">
        <f>ROUND(E17*F18/100,0)</f>
        <v>0</v>
      </c>
      <c r="H18" s="260"/>
      <c r="I18" s="263">
        <f>G18*D17</f>
        <v>0</v>
      </c>
    </row>
    <row r="19" spans="1:9">
      <c r="A19" s="258"/>
      <c r="B19" s="257"/>
      <c r="C19" s="259"/>
      <c r="D19" s="259"/>
      <c r="E19" s="260"/>
      <c r="F19" s="261"/>
      <c r="G19" s="336"/>
      <c r="H19" s="260"/>
      <c r="I19" s="263"/>
    </row>
    <row r="20" spans="1:9" ht="22.5">
      <c r="A20" s="272" t="s">
        <v>384</v>
      </c>
      <c r="B20" s="257" t="s">
        <v>385</v>
      </c>
      <c r="C20" s="274" t="s">
        <v>339</v>
      </c>
      <c r="D20" s="274">
        <v>1</v>
      </c>
      <c r="E20" s="300"/>
      <c r="F20" s="276"/>
      <c r="G20" s="337"/>
      <c r="H20" s="262">
        <f>E20*D20</f>
        <v>0</v>
      </c>
      <c r="I20" s="277"/>
    </row>
    <row r="21" spans="1:9">
      <c r="A21" s="272"/>
      <c r="B21" s="257"/>
      <c r="C21" s="274"/>
      <c r="D21" s="274"/>
      <c r="E21" s="260"/>
      <c r="F21" s="261">
        <v>25</v>
      </c>
      <c r="G21" s="336">
        <f>ROUND(E20*F21/100,0)</f>
        <v>0</v>
      </c>
      <c r="H21" s="260"/>
      <c r="I21" s="263">
        <f>G21*D20</f>
        <v>0</v>
      </c>
    </row>
    <row r="22" spans="1:9">
      <c r="A22" s="272" t="s">
        <v>386</v>
      </c>
      <c r="B22" s="257" t="s">
        <v>387</v>
      </c>
      <c r="C22" s="274" t="s">
        <v>339</v>
      </c>
      <c r="D22" s="274">
        <v>1</v>
      </c>
      <c r="E22" s="302"/>
      <c r="F22" s="276"/>
      <c r="G22" s="337"/>
      <c r="H22" s="262">
        <f>E22*D22</f>
        <v>0</v>
      </c>
      <c r="I22" s="277"/>
    </row>
    <row r="23" spans="1:9">
      <c r="A23" s="272"/>
      <c r="B23" s="257"/>
      <c r="C23" s="274"/>
      <c r="D23" s="274"/>
      <c r="E23" s="286"/>
      <c r="F23" s="261">
        <v>25</v>
      </c>
      <c r="G23" s="336">
        <f>ROUND(E22*F23/100,0)</f>
        <v>0</v>
      </c>
      <c r="H23" s="286"/>
      <c r="I23" s="262">
        <f>G23*D22</f>
        <v>0</v>
      </c>
    </row>
    <row r="24" spans="1:9" ht="45">
      <c r="A24" s="272" t="s">
        <v>388</v>
      </c>
      <c r="B24" s="257" t="s">
        <v>389</v>
      </c>
      <c r="C24" s="274" t="s">
        <v>339</v>
      </c>
      <c r="D24" s="274">
        <v>1</v>
      </c>
      <c r="E24" s="300"/>
      <c r="F24" s="276"/>
      <c r="G24" s="337"/>
      <c r="H24" s="262">
        <f>E24*D24</f>
        <v>0</v>
      </c>
      <c r="I24" s="277"/>
    </row>
    <row r="25" spans="1:9">
      <c r="A25" s="272"/>
      <c r="B25" s="257"/>
      <c r="C25" s="274"/>
      <c r="D25" s="274"/>
      <c r="E25" s="260"/>
      <c r="F25" s="261">
        <v>25</v>
      </c>
      <c r="G25" s="336">
        <f>ROUND(E24*F25/100,0)</f>
        <v>0</v>
      </c>
      <c r="H25" s="260"/>
      <c r="I25" s="263">
        <f>G25*D24</f>
        <v>0</v>
      </c>
    </row>
    <row r="26" spans="1:9" ht="22.5">
      <c r="A26" s="272" t="s">
        <v>390</v>
      </c>
      <c r="B26" s="257" t="s">
        <v>391</v>
      </c>
      <c r="C26" s="287" t="s">
        <v>392</v>
      </c>
      <c r="D26" s="288" t="s">
        <v>156</v>
      </c>
      <c r="E26" s="300"/>
      <c r="F26" s="261"/>
      <c r="G26" s="336"/>
      <c r="H26" s="262">
        <f>E26*D26</f>
        <v>0</v>
      </c>
      <c r="I26" s="277"/>
    </row>
    <row r="27" spans="1:9">
      <c r="A27" s="272"/>
      <c r="B27" s="284"/>
      <c r="C27" s="287"/>
      <c r="D27" s="288"/>
      <c r="E27" s="286"/>
      <c r="F27" s="261">
        <v>30</v>
      </c>
      <c r="G27" s="336">
        <f>ROUND(E26*F27/100,0)</f>
        <v>0</v>
      </c>
      <c r="H27" s="260"/>
      <c r="I27" s="263">
        <f>G27*D26</f>
        <v>0</v>
      </c>
    </row>
    <row r="28" spans="1:9" ht="22.5">
      <c r="A28" s="272" t="s">
        <v>393</v>
      </c>
      <c r="B28" s="289" t="s">
        <v>394</v>
      </c>
      <c r="C28" s="274" t="s">
        <v>395</v>
      </c>
      <c r="D28" s="288" t="s">
        <v>85</v>
      </c>
      <c r="E28" s="300"/>
      <c r="F28" s="276"/>
      <c r="G28" s="337"/>
      <c r="H28" s="262">
        <f>E28*D28</f>
        <v>0</v>
      </c>
      <c r="I28" s="277"/>
    </row>
    <row r="29" spans="1:9">
      <c r="A29" s="272"/>
      <c r="B29" s="284"/>
      <c r="C29" s="274"/>
      <c r="D29" s="288"/>
      <c r="E29" s="260"/>
      <c r="F29" s="261">
        <v>30</v>
      </c>
      <c r="G29" s="336">
        <f>ROUND(E28*F29/100,0)</f>
        <v>0</v>
      </c>
      <c r="H29" s="260"/>
      <c r="I29" s="263">
        <f>G29*D28</f>
        <v>0</v>
      </c>
    </row>
    <row r="30" spans="1:9" ht="33.75">
      <c r="A30" s="272" t="s">
        <v>396</v>
      </c>
      <c r="B30" s="289" t="s">
        <v>397</v>
      </c>
      <c r="C30" s="274" t="s">
        <v>357</v>
      </c>
      <c r="D30" s="288" t="s">
        <v>128</v>
      </c>
      <c r="E30" s="300"/>
      <c r="F30" s="261"/>
      <c r="G30" s="336"/>
      <c r="H30" s="262">
        <f>E30*D30</f>
        <v>0</v>
      </c>
      <c r="I30" s="277"/>
    </row>
    <row r="31" spans="1:9">
      <c r="A31" s="272"/>
      <c r="B31" s="284"/>
      <c r="C31" s="274"/>
      <c r="D31" s="288"/>
      <c r="E31" s="260"/>
      <c r="F31" s="261">
        <v>25</v>
      </c>
      <c r="G31" s="336">
        <f>ROUND(E30*F31/100,0)</f>
        <v>0</v>
      </c>
      <c r="H31" s="260"/>
      <c r="I31" s="263">
        <f>G31*D30</f>
        <v>0</v>
      </c>
    </row>
    <row r="32" spans="1:9">
      <c r="A32" s="272"/>
      <c r="B32" s="284"/>
      <c r="C32" s="274"/>
      <c r="D32" s="274"/>
      <c r="E32" s="275"/>
      <c r="F32" s="276"/>
      <c r="G32" s="337"/>
      <c r="H32" s="262"/>
      <c r="I32" s="277"/>
    </row>
    <row r="33" spans="1:10" ht="15.75" thickBot="1">
      <c r="A33" s="290"/>
      <c r="B33" s="257"/>
      <c r="C33" s="274"/>
      <c r="D33" s="274"/>
      <c r="E33" s="260"/>
      <c r="F33" s="261"/>
      <c r="G33" s="336"/>
      <c r="H33" s="260"/>
      <c r="I33" s="263"/>
    </row>
    <row r="34" spans="1:10" ht="16.5" thickTop="1" thickBot="1">
      <c r="A34" s="291"/>
      <c r="B34" s="292" t="s">
        <v>93</v>
      </c>
      <c r="C34" s="293"/>
      <c r="D34" s="291"/>
      <c r="E34" s="294"/>
      <c r="F34" s="294"/>
      <c r="G34" s="338"/>
      <c r="H34" s="294">
        <f>SUM(H11:H33)</f>
        <v>0</v>
      </c>
      <c r="I34" s="295">
        <f>SUM(I11:I33)</f>
        <v>0</v>
      </c>
    </row>
    <row r="35" spans="1:10" ht="15.75" thickTop="1">
      <c r="A35" s="251"/>
      <c r="B35" s="252"/>
      <c r="D35" s="252"/>
      <c r="E35" s="296"/>
      <c r="F35" s="276"/>
      <c r="G35" s="339"/>
      <c r="H35" s="296"/>
      <c r="I35" s="297"/>
    </row>
    <row r="36" spans="1:10">
      <c r="A36" s="264"/>
      <c r="B36" s="265" t="s">
        <v>398</v>
      </c>
      <c r="C36" s="266"/>
      <c r="D36" s="267"/>
      <c r="E36" s="268"/>
      <c r="F36" s="269"/>
      <c r="G36" s="340"/>
      <c r="H36" s="270"/>
      <c r="I36" s="270"/>
      <c r="J36" s="271"/>
    </row>
    <row r="37" spans="1:10">
      <c r="A37" s="264"/>
      <c r="B37" s="265"/>
      <c r="C37" s="266"/>
      <c r="D37" s="267"/>
      <c r="E37" s="268"/>
      <c r="F37" s="269"/>
      <c r="G37" s="340"/>
      <c r="H37" s="270"/>
      <c r="I37" s="270"/>
      <c r="J37" s="271"/>
    </row>
    <row r="38" spans="1:10">
      <c r="A38" s="272"/>
      <c r="B38" s="257" t="s">
        <v>399</v>
      </c>
      <c r="C38" s="274" t="s">
        <v>392</v>
      </c>
      <c r="D38" s="274">
        <v>3</v>
      </c>
      <c r="E38" s="300"/>
      <c r="F38" s="276"/>
      <c r="G38" s="337"/>
      <c r="H38" s="262">
        <f>E38*D38</f>
        <v>0</v>
      </c>
      <c r="I38" s="277"/>
    </row>
    <row r="39" spans="1:10">
      <c r="A39" s="272"/>
      <c r="B39" s="257" t="s">
        <v>400</v>
      </c>
      <c r="C39" s="274"/>
      <c r="D39" s="274"/>
      <c r="E39" s="260"/>
      <c r="F39" s="261">
        <v>15</v>
      </c>
      <c r="G39" s="336">
        <f>ROUND(E38*F39/100,0)</f>
        <v>0</v>
      </c>
      <c r="H39" s="260"/>
      <c r="I39" s="263">
        <f>G39*D38</f>
        <v>0</v>
      </c>
    </row>
    <row r="40" spans="1:10">
      <c r="A40" s="272"/>
      <c r="B40" s="257" t="s">
        <v>401</v>
      </c>
      <c r="C40" s="274" t="s">
        <v>392</v>
      </c>
      <c r="D40" s="274">
        <v>2</v>
      </c>
      <c r="E40" s="300"/>
      <c r="F40" s="276"/>
      <c r="G40" s="337"/>
      <c r="H40" s="262">
        <f>E40*D40</f>
        <v>0</v>
      </c>
      <c r="I40" s="277"/>
    </row>
    <row r="41" spans="1:10">
      <c r="A41" s="272"/>
      <c r="B41" s="257"/>
      <c r="C41" s="274"/>
      <c r="D41" s="274"/>
      <c r="E41" s="260"/>
      <c r="F41" s="261">
        <v>15</v>
      </c>
      <c r="G41" s="336">
        <f>ROUND(E40*F41/100,0)</f>
        <v>0</v>
      </c>
      <c r="H41" s="260"/>
      <c r="I41" s="263">
        <f>G41*D40</f>
        <v>0</v>
      </c>
    </row>
    <row r="42" spans="1:10">
      <c r="A42" s="272"/>
      <c r="B42" s="257" t="s">
        <v>402</v>
      </c>
      <c r="C42" s="274" t="s">
        <v>392</v>
      </c>
      <c r="D42" s="274">
        <v>2</v>
      </c>
      <c r="E42" s="300"/>
      <c r="F42" s="276"/>
      <c r="G42" s="337"/>
      <c r="H42" s="262">
        <f>E42*D42</f>
        <v>0</v>
      </c>
      <c r="I42" s="277"/>
    </row>
    <row r="43" spans="1:10">
      <c r="A43" s="272"/>
      <c r="B43" s="257"/>
      <c r="C43" s="274"/>
      <c r="D43" s="274"/>
      <c r="E43" s="260"/>
      <c r="F43" s="261">
        <v>15</v>
      </c>
      <c r="G43" s="336">
        <f>ROUND(E42*F43/100,0)</f>
        <v>0</v>
      </c>
      <c r="H43" s="260"/>
      <c r="I43" s="263">
        <f>G43*D42</f>
        <v>0</v>
      </c>
    </row>
    <row r="44" spans="1:10">
      <c r="A44" s="272"/>
      <c r="B44" s="257" t="s">
        <v>403</v>
      </c>
      <c r="C44" s="274" t="s">
        <v>392</v>
      </c>
      <c r="D44" s="288" t="s">
        <v>156</v>
      </c>
      <c r="E44" s="300"/>
      <c r="F44" s="276"/>
      <c r="G44" s="337"/>
      <c r="H44" s="262">
        <f>E44*D44</f>
        <v>0</v>
      </c>
      <c r="I44" s="277"/>
    </row>
    <row r="45" spans="1:10">
      <c r="A45" s="272"/>
      <c r="B45" s="257" t="s">
        <v>404</v>
      </c>
      <c r="C45" s="274"/>
      <c r="D45" s="288"/>
      <c r="E45" s="275"/>
      <c r="F45" s="276"/>
      <c r="G45" s="337"/>
      <c r="H45" s="262"/>
      <c r="I45" s="277"/>
    </row>
    <row r="46" spans="1:10">
      <c r="A46" s="272"/>
      <c r="B46" s="257" t="s">
        <v>405</v>
      </c>
      <c r="C46" s="274"/>
      <c r="D46" s="288"/>
      <c r="E46" s="260"/>
      <c r="F46" s="261">
        <v>15</v>
      </c>
      <c r="G46" s="336">
        <f>ROUND(E44*F46/100,0)</f>
        <v>0</v>
      </c>
      <c r="H46" s="260"/>
      <c r="I46" s="263">
        <f>G46*D44</f>
        <v>0</v>
      </c>
    </row>
    <row r="47" spans="1:10">
      <c r="A47" s="272"/>
      <c r="B47" s="257"/>
      <c r="C47" s="274"/>
      <c r="D47" s="274"/>
      <c r="E47" s="275"/>
      <c r="F47" s="261"/>
      <c r="G47" s="277"/>
      <c r="H47" s="262"/>
      <c r="I47" s="277"/>
    </row>
    <row r="48" spans="1:10" ht="15.75" thickBot="1">
      <c r="A48" s="290"/>
      <c r="B48" s="257"/>
      <c r="C48" s="274"/>
      <c r="D48" s="274"/>
      <c r="E48" s="260"/>
      <c r="F48" s="261"/>
      <c r="G48" s="262"/>
      <c r="H48" s="260"/>
      <c r="I48" s="263"/>
    </row>
    <row r="49" spans="1:9" ht="16.5" thickTop="1" thickBot="1">
      <c r="A49" s="291"/>
      <c r="B49" s="292" t="s">
        <v>93</v>
      </c>
      <c r="C49" s="293"/>
      <c r="D49" s="291"/>
      <c r="E49" s="294"/>
      <c r="F49" s="294"/>
      <c r="G49" s="294"/>
      <c r="H49" s="294">
        <f>SUM(H38:H48)</f>
        <v>0</v>
      </c>
      <c r="I49" s="295">
        <f>SUM(I38:I48)</f>
        <v>0</v>
      </c>
    </row>
    <row r="50" spans="1:9" ht="15.75" thickTop="1"/>
  </sheetData>
  <sheetProtection sheet="1" objects="1" scenarios="1" selectLockedCells="1"/>
  <mergeCells count="55">
    <mergeCell ref="A44:A46"/>
    <mergeCell ref="C44:C46"/>
    <mergeCell ref="D44:D46"/>
    <mergeCell ref="A47:A48"/>
    <mergeCell ref="C47:C48"/>
    <mergeCell ref="D47:D48"/>
    <mergeCell ref="A40:A41"/>
    <mergeCell ref="C40:C41"/>
    <mergeCell ref="D40:D41"/>
    <mergeCell ref="A42:A43"/>
    <mergeCell ref="C42:C43"/>
    <mergeCell ref="D42:D43"/>
    <mergeCell ref="A32:A33"/>
    <mergeCell ref="C32:C33"/>
    <mergeCell ref="D32:D33"/>
    <mergeCell ref="A38:A39"/>
    <mergeCell ref="C38:C39"/>
    <mergeCell ref="D38:D39"/>
    <mergeCell ref="A28:A29"/>
    <mergeCell ref="C28:C29"/>
    <mergeCell ref="D28:D29"/>
    <mergeCell ref="A30:A31"/>
    <mergeCell ref="C30:C31"/>
    <mergeCell ref="D30:D31"/>
    <mergeCell ref="A24:A25"/>
    <mergeCell ref="C24:C25"/>
    <mergeCell ref="D24:D25"/>
    <mergeCell ref="A26:A27"/>
    <mergeCell ref="C26:C27"/>
    <mergeCell ref="D26:D27"/>
    <mergeCell ref="A20:A21"/>
    <mergeCell ref="C20:C21"/>
    <mergeCell ref="D20:D21"/>
    <mergeCell ref="A22:A23"/>
    <mergeCell ref="C22:C23"/>
    <mergeCell ref="D22:D23"/>
    <mergeCell ref="A13:A14"/>
    <mergeCell ref="A15:A16"/>
    <mergeCell ref="C15:C16"/>
    <mergeCell ref="D15:D16"/>
    <mergeCell ref="A17:A18"/>
    <mergeCell ref="C17:C18"/>
    <mergeCell ref="D17:D18"/>
    <mergeCell ref="G2:G3"/>
    <mergeCell ref="H2:H3"/>
    <mergeCell ref="I2:I3"/>
    <mergeCell ref="A11:A12"/>
    <mergeCell ref="C11:C12"/>
    <mergeCell ref="D11:D12"/>
    <mergeCell ref="A2:A3"/>
    <mergeCell ref="B2:B3"/>
    <mergeCell ref="C2:C3"/>
    <mergeCell ref="D2:D3"/>
    <mergeCell ref="E2:E3"/>
    <mergeCell ref="F2:F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77"/>
  <sheetViews>
    <sheetView topLeftCell="A25" workbookViewId="0">
      <selection activeCell="F37" sqref="F37"/>
    </sheetView>
  </sheetViews>
  <sheetFormatPr defaultRowHeight="12.75"/>
  <cols>
    <col min="1" max="1" width="9.140625" style="183"/>
    <col min="2" max="2" width="48" style="183" bestFit="1" customWidth="1"/>
    <col min="3" max="3" width="9.28515625" style="183" bestFit="1" customWidth="1"/>
    <col min="4" max="4" width="8.85546875" style="228" customWidth="1"/>
    <col min="5" max="5" width="12.140625" style="183" bestFit="1" customWidth="1"/>
    <col min="6" max="6" width="13.85546875" style="183" bestFit="1" customWidth="1"/>
    <col min="7" max="16384" width="9.140625" style="183"/>
  </cols>
  <sheetData>
    <row r="1" spans="1:6" ht="18.75" thickBot="1">
      <c r="A1" s="179" t="s">
        <v>328</v>
      </c>
      <c r="B1" s="180"/>
      <c r="C1" s="180"/>
      <c r="D1" s="180"/>
      <c r="E1" s="181"/>
      <c r="F1" s="182" t="s">
        <v>329</v>
      </c>
    </row>
    <row r="2" spans="1:6" ht="18.75" thickBot="1">
      <c r="A2" s="179" t="s">
        <v>330</v>
      </c>
      <c r="B2" s="180"/>
      <c r="C2" s="180"/>
      <c r="D2" s="180"/>
      <c r="E2" s="180"/>
      <c r="F2" s="181"/>
    </row>
    <row r="3" spans="1:6" ht="18.75" thickBot="1">
      <c r="A3" s="179" t="s">
        <v>331</v>
      </c>
      <c r="B3" s="180"/>
      <c r="C3" s="180"/>
      <c r="D3" s="180"/>
      <c r="E3" s="180"/>
      <c r="F3" s="181"/>
    </row>
    <row r="4" spans="1:6" ht="18.75" thickBot="1">
      <c r="A4" s="179" t="s">
        <v>332</v>
      </c>
      <c r="B4" s="180"/>
      <c r="C4" s="180"/>
      <c r="D4" s="180"/>
      <c r="E4" s="180"/>
      <c r="F4" s="181"/>
    </row>
    <row r="5" spans="1:6" ht="36.75" thickBot="1">
      <c r="A5" s="184" t="s">
        <v>100</v>
      </c>
      <c r="B5" s="185" t="s">
        <v>333</v>
      </c>
      <c r="C5" s="186" t="s">
        <v>334</v>
      </c>
      <c r="D5" s="184" t="s">
        <v>101</v>
      </c>
      <c r="E5" s="187" t="s">
        <v>335</v>
      </c>
      <c r="F5" s="188" t="s">
        <v>336</v>
      </c>
    </row>
    <row r="6" spans="1:6" s="192" customFormat="1" ht="13.5" thickBot="1">
      <c r="A6" s="189" t="s">
        <v>337</v>
      </c>
      <c r="B6" s="190"/>
      <c r="C6" s="190"/>
      <c r="D6" s="190"/>
      <c r="E6" s="190"/>
      <c r="F6" s="191"/>
    </row>
    <row r="7" spans="1:6" s="192" customFormat="1" ht="128.25" thickBot="1">
      <c r="A7" s="193">
        <v>1</v>
      </c>
      <c r="B7" s="194" t="s">
        <v>338</v>
      </c>
      <c r="C7" s="195">
        <v>1</v>
      </c>
      <c r="D7" s="195" t="s">
        <v>339</v>
      </c>
      <c r="E7" s="231"/>
      <c r="F7" s="196">
        <f>C7*E7</f>
        <v>0</v>
      </c>
    </row>
    <row r="8" spans="1:6" s="192" customFormat="1" ht="128.25" thickBot="1">
      <c r="A8" s="193">
        <v>2</v>
      </c>
      <c r="B8" s="194" t="s">
        <v>340</v>
      </c>
      <c r="C8" s="195">
        <v>1</v>
      </c>
      <c r="D8" s="195" t="s">
        <v>339</v>
      </c>
      <c r="E8" s="231"/>
      <c r="F8" s="196">
        <f>C8*E8</f>
        <v>0</v>
      </c>
    </row>
    <row r="9" spans="1:6" ht="13.5" thickBot="1">
      <c r="A9" s="197"/>
      <c r="B9" s="198" t="s">
        <v>341</v>
      </c>
      <c r="C9" s="199"/>
      <c r="D9" s="199"/>
      <c r="E9" s="200"/>
      <c r="F9" s="201">
        <f>SUM(F7:F8)</f>
        <v>0</v>
      </c>
    </row>
    <row r="10" spans="1:6" ht="13.5" thickBot="1">
      <c r="A10" s="202"/>
      <c r="B10" s="203"/>
      <c r="C10" s="203"/>
      <c r="D10" s="203"/>
      <c r="E10" s="203"/>
      <c r="F10" s="204"/>
    </row>
    <row r="11" spans="1:6" s="192" customFormat="1" ht="13.5" thickBot="1">
      <c r="A11" s="205" t="s">
        <v>342</v>
      </c>
      <c r="B11" s="206"/>
      <c r="C11" s="206"/>
      <c r="D11" s="206"/>
      <c r="E11" s="206"/>
      <c r="F11" s="207"/>
    </row>
    <row r="12" spans="1:6" s="192" customFormat="1" ht="128.25" thickBot="1">
      <c r="A12" s="193">
        <v>3</v>
      </c>
      <c r="B12" s="208" t="s">
        <v>343</v>
      </c>
      <c r="C12" s="209">
        <v>1</v>
      </c>
      <c r="D12" s="210" t="s">
        <v>339</v>
      </c>
      <c r="E12" s="232">
        <v>100</v>
      </c>
      <c r="F12" s="211">
        <f>C12*E12</f>
        <v>100</v>
      </c>
    </row>
    <row r="13" spans="1:6" s="192" customFormat="1" ht="90" thickBot="1">
      <c r="A13" s="193">
        <v>4</v>
      </c>
      <c r="B13" s="208" t="s">
        <v>344</v>
      </c>
      <c r="C13" s="209">
        <v>115</v>
      </c>
      <c r="D13" s="210" t="s">
        <v>345</v>
      </c>
      <c r="E13" s="232"/>
      <c r="F13" s="211">
        <f>C13*E13</f>
        <v>0</v>
      </c>
    </row>
    <row r="14" spans="1:6" ht="39" thickBot="1">
      <c r="A14" s="193">
        <v>5</v>
      </c>
      <c r="B14" s="208" t="s">
        <v>346</v>
      </c>
      <c r="C14" s="209">
        <v>85</v>
      </c>
      <c r="D14" s="209" t="s">
        <v>345</v>
      </c>
      <c r="E14" s="232"/>
      <c r="F14" s="212">
        <f>C14*E14</f>
        <v>0</v>
      </c>
    </row>
    <row r="15" spans="1:6" s="192" customFormat="1" ht="13.5" thickBot="1">
      <c r="A15" s="193"/>
      <c r="B15" s="198" t="s">
        <v>341</v>
      </c>
      <c r="C15" s="199"/>
      <c r="D15" s="199"/>
      <c r="E15" s="200"/>
      <c r="F15" s="201">
        <f>SUM(F12:F14)</f>
        <v>100</v>
      </c>
    </row>
    <row r="16" spans="1:6" s="192" customFormat="1" ht="13.5" thickBot="1">
      <c r="A16" s="213" t="s">
        <v>72</v>
      </c>
      <c r="B16" s="214"/>
      <c r="C16" s="214"/>
      <c r="D16" s="214"/>
      <c r="E16" s="214"/>
      <c r="F16" s="215"/>
    </row>
    <row r="17" spans="1:6" s="192" customFormat="1" ht="13.5" thickBot="1">
      <c r="A17" s="205" t="s">
        <v>347</v>
      </c>
      <c r="B17" s="206"/>
      <c r="C17" s="206"/>
      <c r="D17" s="206"/>
      <c r="E17" s="206"/>
      <c r="F17" s="207"/>
    </row>
    <row r="18" spans="1:6" s="192" customFormat="1" ht="51.75" thickBot="1">
      <c r="A18" s="193">
        <v>6</v>
      </c>
      <c r="B18" s="216" t="s">
        <v>348</v>
      </c>
      <c r="C18" s="217">
        <v>45</v>
      </c>
      <c r="D18" s="218" t="s">
        <v>345</v>
      </c>
      <c r="E18" s="233"/>
      <c r="F18" s="219">
        <f>C18*E18</f>
        <v>0</v>
      </c>
    </row>
    <row r="19" spans="1:6" s="192" customFormat="1" ht="39" thickBot="1">
      <c r="A19" s="193">
        <v>7</v>
      </c>
      <c r="B19" s="216" t="s">
        <v>349</v>
      </c>
      <c r="C19" s="217">
        <v>15</v>
      </c>
      <c r="D19" s="218" t="s">
        <v>345</v>
      </c>
      <c r="E19" s="233"/>
      <c r="F19" s="219">
        <f>C19*E19</f>
        <v>0</v>
      </c>
    </row>
    <row r="20" spans="1:6" s="192" customFormat="1" ht="64.5" thickBot="1">
      <c r="A20" s="193">
        <v>8</v>
      </c>
      <c r="B20" s="216" t="s">
        <v>350</v>
      </c>
      <c r="C20" s="217">
        <v>60</v>
      </c>
      <c r="D20" s="218" t="s">
        <v>345</v>
      </c>
      <c r="E20" s="233"/>
      <c r="F20" s="219">
        <f>C20*E20</f>
        <v>0</v>
      </c>
    </row>
    <row r="21" spans="1:6" s="192" customFormat="1" ht="64.5" thickBot="1">
      <c r="A21" s="193">
        <v>9</v>
      </c>
      <c r="B21" s="216" t="s">
        <v>351</v>
      </c>
      <c r="C21" s="217">
        <v>50</v>
      </c>
      <c r="D21" s="218" t="s">
        <v>345</v>
      </c>
      <c r="E21" s="233"/>
      <c r="F21" s="219">
        <f>C21*E21</f>
        <v>0</v>
      </c>
    </row>
    <row r="22" spans="1:6" ht="13.5" thickBot="1">
      <c r="A22" s="193"/>
      <c r="B22" s="198" t="s">
        <v>341</v>
      </c>
      <c r="C22" s="199"/>
      <c r="D22" s="199"/>
      <c r="E22" s="200"/>
      <c r="F22" s="201">
        <f>SUM(F18:F21)</f>
        <v>0</v>
      </c>
    </row>
    <row r="23" spans="1:6" s="192" customFormat="1" ht="13.5" thickBot="1">
      <c r="A23" s="220"/>
      <c r="B23" s="221"/>
      <c r="C23" s="221"/>
      <c r="D23" s="221"/>
      <c r="E23" s="221"/>
      <c r="F23" s="222"/>
    </row>
    <row r="24" spans="1:6" s="192" customFormat="1" ht="13.5" thickBot="1">
      <c r="A24" s="205" t="s">
        <v>352</v>
      </c>
      <c r="B24" s="206"/>
      <c r="C24" s="206"/>
      <c r="D24" s="206"/>
      <c r="E24" s="206"/>
      <c r="F24" s="207"/>
    </row>
    <row r="25" spans="1:6" s="192" customFormat="1" ht="39" thickBot="1">
      <c r="A25" s="193">
        <v>10</v>
      </c>
      <c r="B25" s="216" t="s">
        <v>353</v>
      </c>
      <c r="C25" s="223">
        <v>4</v>
      </c>
      <c r="D25" s="209" t="s">
        <v>339</v>
      </c>
      <c r="E25" s="234"/>
      <c r="F25" s="224">
        <f>C25*E25</f>
        <v>0</v>
      </c>
    </row>
    <row r="26" spans="1:6" s="192" customFormat="1" ht="51.75" thickBot="1">
      <c r="A26" s="193">
        <v>11</v>
      </c>
      <c r="B26" s="216" t="s">
        <v>354</v>
      </c>
      <c r="C26" s="223">
        <v>40</v>
      </c>
      <c r="D26" s="209" t="s">
        <v>345</v>
      </c>
      <c r="E26" s="234"/>
      <c r="F26" s="224">
        <f>C26*E26</f>
        <v>0</v>
      </c>
    </row>
    <row r="27" spans="1:6" ht="13.5" thickBot="1">
      <c r="A27" s="193"/>
      <c r="B27" s="198" t="s">
        <v>341</v>
      </c>
      <c r="C27" s="199"/>
      <c r="D27" s="199"/>
      <c r="E27" s="200"/>
      <c r="F27" s="201">
        <f>SUM(F25:F26)</f>
        <v>0</v>
      </c>
    </row>
    <row r="28" spans="1:6" s="192" customFormat="1" ht="13.5" thickBot="1">
      <c r="A28" s="220"/>
      <c r="B28" s="221"/>
      <c r="C28" s="221"/>
      <c r="D28" s="221"/>
      <c r="E28" s="221"/>
      <c r="F28" s="222"/>
    </row>
    <row r="29" spans="1:6" s="192" customFormat="1" ht="13.5" thickBot="1">
      <c r="A29" s="205" t="s">
        <v>355</v>
      </c>
      <c r="B29" s="206"/>
      <c r="C29" s="206"/>
      <c r="D29" s="206"/>
      <c r="E29" s="206"/>
      <c r="F29" s="207"/>
    </row>
    <row r="30" spans="1:6" s="192" customFormat="1" ht="153.75" thickBot="1">
      <c r="A30" s="193">
        <v>12</v>
      </c>
      <c r="B30" s="208" t="s">
        <v>356</v>
      </c>
      <c r="C30" s="209">
        <v>1</v>
      </c>
      <c r="D30" s="225" t="s">
        <v>357</v>
      </c>
      <c r="E30" s="234"/>
      <c r="F30" s="226">
        <f>C30*E30</f>
        <v>0</v>
      </c>
    </row>
    <row r="31" spans="1:6" s="192" customFormat="1" ht="77.25" thickBot="1">
      <c r="A31" s="193">
        <v>13</v>
      </c>
      <c r="B31" s="208" t="s">
        <v>358</v>
      </c>
      <c r="C31" s="209">
        <v>1</v>
      </c>
      <c r="D31" s="225" t="s">
        <v>357</v>
      </c>
      <c r="E31" s="234"/>
      <c r="F31" s="226">
        <f>C31*E31</f>
        <v>0</v>
      </c>
    </row>
    <row r="32" spans="1:6" s="192" customFormat="1" ht="64.5" thickBot="1">
      <c r="A32" s="193">
        <v>14</v>
      </c>
      <c r="B32" s="208" t="s">
        <v>359</v>
      </c>
      <c r="C32" s="209">
        <v>8</v>
      </c>
      <c r="D32" s="225" t="s">
        <v>360</v>
      </c>
      <c r="E32" s="234"/>
      <c r="F32" s="226">
        <f>C32*E32</f>
        <v>0</v>
      </c>
    </row>
    <row r="33" spans="1:6" s="192" customFormat="1" ht="102.75" thickBot="1">
      <c r="A33" s="193">
        <v>15</v>
      </c>
      <c r="B33" s="208" t="s">
        <v>361</v>
      </c>
      <c r="C33" s="209">
        <v>3</v>
      </c>
      <c r="D33" s="225" t="s">
        <v>339</v>
      </c>
      <c r="E33" s="234"/>
      <c r="F33" s="226">
        <f>C33*E33</f>
        <v>0</v>
      </c>
    </row>
    <row r="34" spans="1:6" s="192" customFormat="1" ht="13.5" thickBot="1">
      <c r="A34" s="193">
        <v>16</v>
      </c>
      <c r="B34" s="208" t="s">
        <v>362</v>
      </c>
      <c r="C34" s="209">
        <v>16</v>
      </c>
      <c r="D34" s="225" t="s">
        <v>360</v>
      </c>
      <c r="E34" s="234"/>
      <c r="F34" s="226">
        <f>C34*E34</f>
        <v>0</v>
      </c>
    </row>
    <row r="35" spans="1:6" s="192" customFormat="1" ht="13.5" thickBot="1">
      <c r="A35" s="193"/>
      <c r="B35" s="198" t="s">
        <v>341</v>
      </c>
      <c r="C35" s="199"/>
      <c r="D35" s="199"/>
      <c r="E35" s="200"/>
      <c r="F35" s="201">
        <f>SUM(F30:F34)</f>
        <v>0</v>
      </c>
    </row>
    <row r="36" spans="1:6" s="192" customFormat="1" ht="13.5" thickBot="1">
      <c r="A36" s="220"/>
      <c r="B36" s="221"/>
      <c r="C36" s="221"/>
      <c r="D36" s="221"/>
      <c r="E36" s="221"/>
      <c r="F36" s="222"/>
    </row>
    <row r="37" spans="1:6" s="192" customFormat="1" ht="13.5" thickBot="1">
      <c r="A37" s="189" t="s">
        <v>363</v>
      </c>
      <c r="B37" s="190"/>
      <c r="C37" s="190"/>
      <c r="D37" s="190"/>
      <c r="E37" s="191"/>
      <c r="F37" s="227"/>
    </row>
    <row r="38" spans="1:6" s="192" customFormat="1">
      <c r="A38" s="183"/>
      <c r="B38" s="183"/>
      <c r="C38" s="183"/>
      <c r="D38" s="228"/>
      <c r="E38" s="183"/>
    </row>
    <row r="39" spans="1:6" s="192" customFormat="1">
      <c r="A39" s="183"/>
      <c r="B39" s="183"/>
      <c r="C39" s="183"/>
      <c r="D39" s="228"/>
      <c r="E39" s="183"/>
    </row>
    <row r="40" spans="1:6" s="192" customFormat="1">
      <c r="A40" s="183"/>
      <c r="B40" s="183"/>
      <c r="C40" s="183"/>
      <c r="D40" s="228"/>
      <c r="E40" s="183"/>
    </row>
    <row r="41" spans="1:6" s="192" customFormat="1">
      <c r="A41" s="183"/>
      <c r="B41" s="183"/>
      <c r="C41" s="183"/>
      <c r="D41" s="228"/>
      <c r="E41" s="183"/>
    </row>
    <row r="42" spans="1:6" s="192" customFormat="1">
      <c r="A42" s="183"/>
      <c r="B42" s="183"/>
      <c r="C42" s="183"/>
      <c r="D42" s="228"/>
      <c r="E42" s="183"/>
    </row>
    <row r="43" spans="1:6" s="192" customFormat="1">
      <c r="A43" s="183"/>
      <c r="B43" s="183"/>
      <c r="C43" s="183"/>
      <c r="D43" s="228"/>
      <c r="E43" s="183"/>
    </row>
    <row r="62" spans="1:5" s="192" customFormat="1">
      <c r="A62" s="183"/>
      <c r="B62" s="183"/>
      <c r="C62" s="183"/>
      <c r="D62" s="228"/>
      <c r="E62" s="183"/>
    </row>
    <row r="63" spans="1:5" s="192" customFormat="1">
      <c r="A63" s="183"/>
      <c r="B63" s="183"/>
      <c r="C63" s="183"/>
      <c r="D63" s="228"/>
      <c r="E63" s="183"/>
    </row>
    <row r="64" spans="1:5" s="192" customFormat="1">
      <c r="A64" s="183"/>
      <c r="B64" s="183"/>
      <c r="C64" s="183"/>
      <c r="D64" s="228"/>
      <c r="E64" s="183"/>
    </row>
    <row r="65" spans="1:5" s="192" customFormat="1">
      <c r="A65" s="183"/>
      <c r="B65" s="183"/>
      <c r="C65" s="183"/>
      <c r="D65" s="228"/>
      <c r="E65" s="183"/>
    </row>
    <row r="66" spans="1:5" s="192" customFormat="1">
      <c r="A66" s="183"/>
      <c r="B66" s="183"/>
      <c r="C66" s="183"/>
      <c r="D66" s="228"/>
      <c r="E66" s="183"/>
    </row>
    <row r="70" spans="1:5" s="192" customFormat="1">
      <c r="A70" s="183"/>
      <c r="B70" s="183"/>
      <c r="C70" s="183"/>
      <c r="D70" s="228"/>
      <c r="E70" s="183"/>
    </row>
    <row r="71" spans="1:5" s="192" customFormat="1">
      <c r="A71" s="183"/>
      <c r="B71" s="183"/>
      <c r="C71" s="183"/>
      <c r="D71" s="228"/>
      <c r="E71" s="183"/>
    </row>
    <row r="72" spans="1:5" s="192" customFormat="1">
      <c r="A72" s="183"/>
      <c r="B72" s="183"/>
      <c r="C72" s="183"/>
      <c r="D72" s="228"/>
      <c r="E72" s="183"/>
    </row>
    <row r="73" spans="1:5" s="229" customFormat="1">
      <c r="A73" s="183"/>
      <c r="B73" s="183"/>
      <c r="C73" s="183"/>
      <c r="D73" s="228"/>
      <c r="E73" s="183"/>
    </row>
    <row r="74" spans="1:5" s="229" customFormat="1">
      <c r="A74" s="183"/>
      <c r="B74" s="183"/>
      <c r="C74" s="183"/>
      <c r="D74" s="228"/>
      <c r="E74" s="183"/>
    </row>
    <row r="75" spans="1:5" s="192" customFormat="1">
      <c r="A75" s="183"/>
      <c r="B75" s="183"/>
      <c r="C75" s="183"/>
      <c r="D75" s="228"/>
      <c r="E75" s="183"/>
    </row>
    <row r="77" spans="1:5" s="230" customFormat="1">
      <c r="A77" s="183"/>
      <c r="B77" s="183"/>
      <c r="C77" s="183"/>
      <c r="D77" s="228"/>
      <c r="E77" s="183"/>
    </row>
  </sheetData>
  <sheetProtection sheet="1" objects="1" scenarios="1" selectLockedCells="1"/>
  <mergeCells count="20">
    <mergeCell ref="A36:F36"/>
    <mergeCell ref="A37:E37"/>
    <mergeCell ref="A23:F23"/>
    <mergeCell ref="A24:F24"/>
    <mergeCell ref="B27:E27"/>
    <mergeCell ref="A28:F28"/>
    <mergeCell ref="A29:F29"/>
    <mergeCell ref="B35:E35"/>
    <mergeCell ref="A10:F10"/>
    <mergeCell ref="A11:F11"/>
    <mergeCell ref="B15:E15"/>
    <mergeCell ref="A16:F16"/>
    <mergeCell ref="A17:F17"/>
    <mergeCell ref="B22:E22"/>
    <mergeCell ref="A1:E1"/>
    <mergeCell ref="A2:F2"/>
    <mergeCell ref="A3:F3"/>
    <mergeCell ref="A4:F4"/>
    <mergeCell ref="A6:F6"/>
    <mergeCell ref="B9:E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Krycí list rozpočtu</vt:lpstr>
      <vt:lpstr>VORN</vt:lpstr>
      <vt:lpstr>Rozpočet - skupiny</vt:lpstr>
      <vt:lpstr>Stavební rozpočet</vt:lpstr>
      <vt:lpstr>VZT_rekapitulace</vt:lpstr>
      <vt:lpstr>VZT</vt:lpstr>
      <vt:lpstr>EL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petr.visinka@seznam.cz</cp:lastModifiedBy>
  <cp:lastPrinted>2024-10-08T08:43:48Z</cp:lastPrinted>
  <dcterms:created xsi:type="dcterms:W3CDTF">2021-06-10T20:06:38Z</dcterms:created>
  <dcterms:modified xsi:type="dcterms:W3CDTF">2024-10-08T09:59:56Z</dcterms:modified>
</cp:coreProperties>
</file>